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jpg" ContentType="image/jpeg"/>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colors1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1.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workbookProtection workbookAlgorithmName="SHA-512" workbookHashValue="UDmZUOdez0XsuXhGz6lcqy7Bp75mgpx58y0Wc4ius68nPIVgH12jsaVl/3JVinHXp4D6Nm0YBqzZwIwg4oxAcw==" workbookSpinCount="100000" workbookSaltValue="IdB75dvAnIjX268P1HoaqA==" lockStructure="1"/>
  <bookViews>
    <workbookView xWindow="65428" yWindow="65428" windowWidth="23256" windowHeight="14016" activeTab="0"/>
  </bookViews>
  <sheets>
    <sheet name="Frontpage" sheetId="7" r:id="rId1"/>
    <sheet name="Green+Social Interface" sheetId="1" r:id="rId2"/>
    <sheet name="Summary graphs" sheetId="2" r:id="rId3"/>
    <sheet name="Summary benefits" sheetId="13" r:id="rId4"/>
    <sheet name="Social Infrastructure" sheetId="3" state="hidden" r:id="rId5"/>
    <sheet name="Green Infrastructure" sheetId="8" state="hidden" r:id="rId6"/>
    <sheet name="Energy and carbon" sheetId="9" state="hidden" r:id="rId7"/>
    <sheet name="Pivot table" sheetId="6" state="hidden" r:id="rId8"/>
    <sheet name="Look-ups" sheetId="4" state="hidden" r:id="rId9"/>
    <sheet name="Look-ups_2" sheetId="10" state="hidden" r:id="rId10"/>
  </sheets>
  <definedNames>
    <definedName name="Affordable_area">#REF!</definedName>
    <definedName name="AHIB">#REF!</definedName>
    <definedName name="AHIB_Credits">#REF!</definedName>
    <definedName name="Attached_range">#REF!</definedName>
    <definedName name="Capital_grant">#REF!</definedName>
    <definedName name="Capital_revenue">#REF!</definedName>
    <definedName name="Car_bays">#REF!</definedName>
    <definedName name="Cash_Interest_Rate">#REF!</definedName>
    <definedName name="Commercial_area">#REF!</definedName>
    <definedName name="Commercial_outcome">#REF!</definedName>
    <definedName name="Commercial_rental_revenue">#REF!</definedName>
    <definedName name="Commercial_sale_revenue">#REF!</definedName>
    <definedName name="Construction_cost">#REF!</definedName>
    <definedName name="Construction_Cost_Loading">#REF!</definedName>
    <definedName name="cost_index">#REF!</definedName>
    <definedName name="cost_index_rate">#REF!</definedName>
    <definedName name="cra">#REF!</definedName>
    <definedName name="DA_rate">#REF!</definedName>
    <definedName name="deposit">#REF!</definedName>
    <definedName name="Detached_range">#REF!</definedName>
    <definedName name="devel_interest_lever">#REF!</definedName>
    <definedName name="devel_interest_rate">#REF!</definedName>
    <definedName name="Devel_Time">#REF!</definedName>
    <definedName name="Development_type_SI">#REF!</definedName>
    <definedName name="DevelopmentType">#REF!</definedName>
    <definedName name="Dwellings_affordable_rental">#REF!</definedName>
    <definedName name="Dwellings_est">#REF!</definedName>
    <definedName name="Dwellings_market_rentals">#REF!</definedName>
    <definedName name="Dwellings_total">#REF!</definedName>
    <definedName name="four_bed">#REF!</definedName>
    <definedName name="Infrastructure_contribution">#REF!</definedName>
    <definedName name="Infrastructure_contribution_rate">#REF!</definedName>
    <definedName name="Land_cost">#REF!</definedName>
    <definedName name="Land_equity">#REF!</definedName>
    <definedName name="Land_equity_percent">#REF!</definedName>
    <definedName name="Land_tax">#REF!</definedName>
    <definedName name="Land_Tax_Rate">#REF!</definedName>
    <definedName name="Loan_Term">#REF!</definedName>
    <definedName name="Low_Rise_range">#REF!</definedName>
    <definedName name="Market_area">#REF!</definedName>
    <definedName name="Market_Land_Value">#REF!</definedName>
    <definedName name="Market_rental">#REF!</definedName>
    <definedName name="Market_rental_revenue">#REF!</definedName>
    <definedName name="Market_rental_share">#REF!</definedName>
    <definedName name="Market_sale_revenue">#REF!</definedName>
    <definedName name="Market_sale_share">#REF!</definedName>
    <definedName name="Market_sales">#REF!</definedName>
    <definedName name="Market_Values">#REF!</definedName>
    <definedName name="max_repayment">#REF!</definedName>
    <definedName name="new_devel_interest">#REF!</definedName>
    <definedName name="new_op_interest">#REF!</definedName>
    <definedName name="NHFIC_full_debt">#REF!</definedName>
    <definedName name="NHFIC_with_AHIB">#REF!</definedName>
    <definedName name="NRAS_CHP">#REF!</definedName>
    <definedName name="NRAS_length">#REF!</definedName>
    <definedName name="NRAS_Sale">#REF!</definedName>
    <definedName name="NRAS_type">#REF!</definedName>
    <definedName name="NRAS_value">#REF!</definedName>
    <definedName name="one_bed">#REF!</definedName>
    <definedName name="op_interest_lever">#REF!</definedName>
    <definedName name="op_interest_Rate">#REF!</definedName>
    <definedName name="Parking_Type">#REF!</definedName>
    <definedName name="Planned_Maintenance">#REF!</definedName>
    <definedName name="Planning_bonus">#REF!</definedName>
    <definedName name="property_index">#REF!</definedName>
    <definedName name="property_index_rate">#REF!</definedName>
    <definedName name="Recurrent_afford_revenue">#REF!</definedName>
    <definedName name="Recurrent_market_revenue">#REF!</definedName>
    <definedName name="Region">#REF!</definedName>
    <definedName name="Repairs">#REF!</definedName>
    <definedName name="revenue_index">#REF!</definedName>
    <definedName name="revenue_index_rate">#REF!</definedName>
    <definedName name="Sinking_amount">#REF!</definedName>
    <definedName name="Sinking_delay">#REF!</definedName>
    <definedName name="Sinking_delay_year">#REF!</definedName>
    <definedName name="stages">#REF!</definedName>
    <definedName name="Stamp_duty_rate">#REF!</definedName>
    <definedName name="Studios">#REF!</definedName>
    <definedName name="three_bed">#REF!</definedName>
    <definedName name="two_bed">#REF!</definedName>
    <definedName name="unit_size_SI">#REF!</definedName>
    <definedName name="unitsize">#REF!</definedName>
  </definedNames>
  <calcPr calcId="191029"/>
  <pivotCaches>
    <pivotCache cacheId="0" r:id="rId11"/>
  </pivotCaches>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Andi Nygaard</author>
  </authors>
  <commentList>
    <comment ref="N5" authorId="0">
      <text>
        <r>
          <rPr>
            <b/>
            <sz val="9"/>
            <rFont val="Tahoma"/>
            <family val="2"/>
          </rPr>
          <t xml:space="preserve">Instruction:
</t>
        </r>
        <r>
          <rPr>
            <sz val="9"/>
            <rFont val="Tahoma"/>
            <family val="2"/>
          </rPr>
          <t>The  turnover rate is the per cent of properties vacated in a given year, becoming available for a new tenancy.
Nygaard and Kollmann (2023) use 7% in their cost-benefit analysis of social and affordable housing in Sydney and Canberra.</t>
        </r>
      </text>
    </comment>
    <comment ref="N10" authorId="0">
      <text>
        <r>
          <rPr>
            <b/>
            <sz val="9"/>
            <rFont val="Tahoma"/>
            <family val="2"/>
          </rPr>
          <t>Instruction:</t>
        </r>
        <r>
          <rPr>
            <sz val="9"/>
            <rFont val="Tahoma"/>
            <family val="2"/>
          </rPr>
          <t xml:space="preserve">
The vacancy rate is the per cent of time that dwellings, on average, remain unoccupied.
Use past business experience to fill in the vacancy rate. 
Each week a property is without a tenant is equal to 1.9% vacancy rate. 
In the absence of other information, a vacancy rate of 2.5-4% is a reasonable default.</t>
        </r>
      </text>
    </comment>
    <comment ref="S11" authorId="0">
      <text>
        <r>
          <rPr>
            <b/>
            <sz val="9"/>
            <rFont val="Tahoma"/>
            <family val="2"/>
          </rPr>
          <t xml:space="preserve">Instruction:
</t>
        </r>
        <r>
          <rPr>
            <sz val="9"/>
            <rFont val="Tahoma"/>
            <family val="2"/>
          </rPr>
          <t>Enter here the total square meter size of the development lot.</t>
        </r>
      </text>
    </comment>
    <comment ref="F17" authorId="0">
      <text>
        <r>
          <rPr>
            <b/>
            <sz val="9"/>
            <rFont val="Tahoma"/>
            <family val="2"/>
          </rPr>
          <t>Instruction:</t>
        </r>
        <r>
          <rPr>
            <sz val="9"/>
            <rFont val="Tahoma"/>
            <family val="2"/>
          </rPr>
          <t xml:space="preserve">
Insert expected number of one-parent allocations. This can be based on past allocation patterns, or priority list analysis.</t>
        </r>
      </text>
    </comment>
    <comment ref="K17" authorId="0">
      <text>
        <r>
          <rPr>
            <b/>
            <sz val="9"/>
            <rFont val="Tahoma"/>
            <family val="2"/>
          </rPr>
          <t xml:space="preserve">Instruction:
</t>
        </r>
        <r>
          <rPr>
            <sz val="9"/>
            <rFont val="Tahoma"/>
            <family val="2"/>
          </rPr>
          <t>Enter the number of dwellings that have a private balcony, patio or garden. To be considered a balcony/private garden this would need to be min 8sqm.</t>
        </r>
      </text>
    </comment>
    <comment ref="L17" authorId="0">
      <text>
        <r>
          <rPr>
            <b/>
            <sz val="9"/>
            <color rgb="FF000000"/>
            <rFont val="Tahoma"/>
            <family val="2"/>
          </rPr>
          <t>Instruction:</t>
        </r>
        <r>
          <rPr>
            <sz val="9"/>
            <color rgb="FF000000"/>
            <rFont val="Tahoma"/>
            <family val="2"/>
          </rPr>
          <t xml:space="preserve">
</t>
        </r>
        <r>
          <rPr>
            <sz val="9"/>
            <color rgb="FF000000"/>
            <rFont val="Tahoma"/>
            <family val="2"/>
          </rPr>
          <t>Insert expected number of one-parent allocations. This can be based on past allocation patterns, or priority list analysis.</t>
        </r>
      </text>
    </comment>
    <comment ref="Q17" authorId="0">
      <text>
        <r>
          <rPr>
            <b/>
            <sz val="9"/>
            <rFont val="Tahoma"/>
            <family val="2"/>
          </rPr>
          <t>Instruction:</t>
        </r>
        <r>
          <rPr>
            <sz val="9"/>
            <rFont val="Tahoma"/>
            <family val="2"/>
          </rPr>
          <t xml:space="preserve">
Insert expected number of one-parent allocations. This can be based on past allocation patterns, or priority list analysis.</t>
        </r>
      </text>
    </comment>
    <comment ref="V17" authorId="0">
      <text>
        <r>
          <rPr>
            <b/>
            <sz val="9"/>
            <rFont val="Tahoma"/>
            <family val="2"/>
          </rPr>
          <t xml:space="preserve">Instruction:
</t>
        </r>
        <r>
          <rPr>
            <sz val="9"/>
            <rFont val="Tahoma"/>
            <family val="2"/>
          </rPr>
          <t>Enter the number of dwellings that have a private balcony, patio or garden. To be considered a balcony/private garden this would need to be min 8sqm</t>
        </r>
      </text>
    </comment>
    <comment ref="W17" authorId="0">
      <text>
        <r>
          <rPr>
            <b/>
            <sz val="9"/>
            <rFont val="Tahoma"/>
            <family val="2"/>
          </rPr>
          <t>Instruction:</t>
        </r>
        <r>
          <rPr>
            <sz val="9"/>
            <rFont val="Tahoma"/>
            <family val="2"/>
          </rPr>
          <t xml:space="preserve">
Insert expected number of one-parent allocations. This can be based on past allocation patterns, or priority list analysis.</t>
        </r>
      </text>
    </comment>
    <comment ref="F60" authorId="0">
      <text>
        <r>
          <rPr>
            <b/>
            <sz val="9"/>
            <rFont val="Tahoma"/>
            <family val="2"/>
          </rPr>
          <t xml:space="preserve">Entering green space:
</t>
        </r>
        <r>
          <rPr>
            <sz val="9"/>
            <rFont val="Tahoma"/>
            <family val="2"/>
          </rPr>
          <t>Only enter space that is meaningfully covered by grass, plants, shrubs or canopy. 
Areas that largely represent dirt patches, sand or loose soils and rocks should be excluded from the calculation of the area.</t>
        </r>
      </text>
    </comment>
    <comment ref="Z62" authorId="0">
      <text>
        <r>
          <rPr>
            <b/>
            <sz val="9"/>
            <rFont val="Tahoma"/>
            <family val="2"/>
          </rPr>
          <t xml:space="preserve">Carbon price:
</t>
        </r>
        <r>
          <rPr>
            <sz val="9"/>
            <rFont val="Tahoma"/>
            <family val="2"/>
          </rPr>
          <t xml:space="preserve">The NSW government's recommended pricing of carbon is based on the EU's ETS Carbon Price. Information on the carbon price can be found here: 
https://ember-climate.org/data/data-tools/carbon-price-viewer/ 
</t>
        </r>
      </text>
    </comment>
    <comment ref="Z65" authorId="0">
      <text>
        <r>
          <rPr>
            <b/>
            <sz val="9"/>
            <rFont val="Tahoma"/>
            <family val="2"/>
          </rPr>
          <t>Historical exchange rate information</t>
        </r>
        <r>
          <rPr>
            <sz val="9"/>
            <rFont val="Tahoma"/>
            <family val="2"/>
          </rPr>
          <t xml:space="preserve"> can be found from various online sources. One source is: 
https://www.oanda.com/fx-for-business/historical-rates </t>
        </r>
      </text>
    </comment>
    <comment ref="Z68" authorId="0">
      <text>
        <r>
          <rPr>
            <b/>
            <sz val="9"/>
            <rFont val="Tahoma"/>
            <family val="2"/>
          </rPr>
          <t>Bureau of Metrology:</t>
        </r>
        <r>
          <rPr>
            <sz val="9"/>
            <rFont val="Tahoma"/>
            <family val="2"/>
          </rPr>
          <t xml:space="preserve">
Information about number of days over 30 degrees for a selection of sites across Australia can be found here: 
http://www.bom.gov.au/climate/data/index.shtml 
1. Use the map to select location.
2. Select 'Daily maximum temperature' from</t>
        </r>
        <r>
          <rPr>
            <b/>
            <sz val="9"/>
            <rFont val="Tahoma"/>
            <family val="2"/>
          </rPr>
          <t xml:space="preserve"> I would lik</t>
        </r>
        <r>
          <rPr>
            <sz val="9"/>
            <rFont val="Tahoma"/>
            <family val="2"/>
          </rPr>
          <t xml:space="preserve">e.
3. Map will produce a small call-out box: click on 'Daily max. temperature' link.
4. Select from 'Show in table': Days above 30 degrees.  </t>
        </r>
      </text>
    </comment>
    <comment ref="J71" authorId="0">
      <text>
        <r>
          <rPr>
            <b/>
            <sz val="9"/>
            <rFont val="Tahoma"/>
            <family val="2"/>
          </rPr>
          <t xml:space="preserve">If Error message:
</t>
        </r>
        <r>
          <rPr>
            <sz val="9"/>
            <rFont val="Tahoma"/>
            <family val="2"/>
          </rPr>
          <t>Canopy space entered is greater than total green space (small).</t>
        </r>
      </text>
    </comment>
    <comment ref="Z71" authorId="0">
      <text>
        <r>
          <rPr>
            <b/>
            <sz val="9"/>
            <rFont val="Tahoma"/>
            <family val="2"/>
          </rPr>
          <t xml:space="preserve">Electricity price:
</t>
        </r>
        <r>
          <rPr>
            <sz val="9"/>
            <rFont val="Tahoma"/>
            <family val="2"/>
          </rPr>
          <t xml:space="preserve">Enter a representative electricity price. </t>
        </r>
        <r>
          <rPr>
            <b/>
            <sz val="9"/>
            <rFont val="Tahoma"/>
            <family val="2"/>
          </rPr>
          <t xml:space="preserve">Use dollars, not cents.
</t>
        </r>
        <r>
          <rPr>
            <sz val="9"/>
            <rFont val="Tahoma"/>
            <family val="2"/>
          </rPr>
          <t xml:space="preserve">Information on electricity prices can be sourced from own records/supplier agreements.
Websites like 'Finder' also provide average prices on a per state basis. (https://www.finder.com.au/average-cost-of-electricity)
Remember to entre price as </t>
        </r>
        <r>
          <rPr>
            <b/>
            <sz val="9"/>
            <rFont val="Tahoma"/>
            <family val="2"/>
          </rPr>
          <t>dollar</t>
        </r>
        <r>
          <rPr>
            <sz val="9"/>
            <rFont val="Tahoma"/>
            <family val="2"/>
          </rPr>
          <t xml:space="preserve"> value, NOT cents.</t>
        </r>
      </text>
    </comment>
    <comment ref="J73" authorId="0">
      <text>
        <r>
          <rPr>
            <b/>
            <sz val="9"/>
            <rFont val="Tahoma"/>
            <family val="2"/>
          </rPr>
          <t xml:space="preserve">If Error message:
</t>
        </r>
        <r>
          <rPr>
            <sz val="9"/>
            <rFont val="Tahoma"/>
            <family val="2"/>
          </rPr>
          <t>Canopy space entered is greater than total green space (medium)</t>
        </r>
      </text>
    </comment>
    <comment ref="J75" authorId="0">
      <text>
        <r>
          <rPr>
            <b/>
            <sz val="9"/>
            <rFont val="Tahoma"/>
            <family val="2"/>
          </rPr>
          <t xml:space="preserve">If Error message:
</t>
        </r>
        <r>
          <rPr>
            <sz val="9"/>
            <rFont val="Tahoma"/>
            <family val="2"/>
          </rPr>
          <t>Canopy space entered is greater than total green space (large)</t>
        </r>
      </text>
    </comment>
  </commentList>
</comments>
</file>

<file path=xl/comments5.xml><?xml version="1.0" encoding="utf-8"?>
<comments xmlns="http://schemas.openxmlformats.org/spreadsheetml/2006/main">
  <authors>
    <author>Andi Nygaard</author>
  </authors>
  <commentList>
    <comment ref="G23" authorId="0">
      <text>
        <r>
          <rPr>
            <b/>
            <sz val="9"/>
            <rFont val="Tahoma"/>
            <family val="2"/>
          </rPr>
          <t>Andi Nygaard:</t>
        </r>
        <r>
          <rPr>
            <sz val="9"/>
            <rFont val="Tahoma"/>
            <family val="2"/>
          </rPr>
          <t xml:space="preserve">
Only 30% of allocations to social housing in the SHS AIHW data is from private market rental.</t>
        </r>
      </text>
    </comment>
    <comment ref="C38" authorId="0">
      <text>
        <r>
          <rPr>
            <b/>
            <sz val="9"/>
            <rFont val="Tahoma"/>
            <family val="2"/>
          </rPr>
          <t>Andi Nygaard:</t>
        </r>
        <r>
          <rPr>
            <sz val="9"/>
            <rFont val="Tahoma"/>
            <family val="2"/>
          </rPr>
          <t xml:space="preserve">
Approxiately 5% of total children are Yr 12.</t>
        </r>
      </text>
    </comment>
    <comment ref="C39" authorId="0">
      <text>
        <r>
          <rPr>
            <b/>
            <sz val="9"/>
            <rFont val="Tahoma"/>
            <family val="2"/>
          </rPr>
          <t>Andi Nygaard:</t>
        </r>
        <r>
          <rPr>
            <sz val="9"/>
            <rFont val="Tahoma"/>
            <family val="2"/>
          </rPr>
          <t xml:space="preserve">
Causality evidence not strong enough</t>
        </r>
      </text>
    </comment>
    <comment ref="C140" authorId="0">
      <text>
        <r>
          <rPr>
            <b/>
            <sz val="9"/>
            <rFont val="Tahoma"/>
            <family val="2"/>
          </rPr>
          <t>Andi Nygaard:</t>
        </r>
        <r>
          <rPr>
            <sz val="9"/>
            <rFont val="Tahoma"/>
            <family val="2"/>
          </rPr>
          <t xml:space="preserve">
Not in use in this calculation.
User defined on Green and social interface</t>
        </r>
      </text>
    </comment>
  </commentList>
</comments>
</file>

<file path=xl/comments6.xml><?xml version="1.0" encoding="utf-8"?>
<comments xmlns="http://schemas.openxmlformats.org/spreadsheetml/2006/main">
  <authors>
    <author>Andi Nygaard</author>
  </authors>
  <commentList>
    <comment ref="C34" authorId="0">
      <text>
        <r>
          <rPr>
            <b/>
            <sz val="9"/>
            <rFont val="Tahoma"/>
            <family val="2"/>
          </rPr>
          <t>Andi Nygaard:</t>
        </r>
        <r>
          <rPr>
            <sz val="9"/>
            <rFont val="Tahoma"/>
            <family val="2"/>
          </rPr>
          <t xml:space="preserve">
We need to adjust these values for the growth rate of canopy.</t>
        </r>
      </text>
    </comment>
    <comment ref="M34" authorId="0">
      <text>
        <r>
          <rPr>
            <b/>
            <sz val="9"/>
            <rFont val="Tahoma"/>
            <family val="2"/>
          </rPr>
          <t>Andi Nygaard:</t>
        </r>
        <r>
          <rPr>
            <sz val="9"/>
            <rFont val="Tahoma"/>
            <family val="2"/>
          </rPr>
          <t xml:space="preserve">
0.25 is grams per sqm canopy cover
1,000,000 converts grams to tons</t>
        </r>
      </text>
    </comment>
    <comment ref="C35" authorId="0">
      <text>
        <r>
          <rPr>
            <b/>
            <sz val="9"/>
            <rFont val="Tahoma"/>
            <family val="2"/>
          </rPr>
          <t>Andi Nygaard:</t>
        </r>
        <r>
          <rPr>
            <sz val="9"/>
            <rFont val="Tahoma"/>
            <family val="2"/>
          </rPr>
          <t xml:space="preserve">
From SUDS calculator:
0.00649373798747598 PM10 uptake per hectar extensive green roof
so eqivalent to per 10,000 sqm.
Have "extracted" PM2.5 value as per NSW DPE 2022=0.25 grams or 0.0025
</t>
        </r>
      </text>
    </comment>
    <comment ref="M35" authorId="0">
      <text>
        <r>
          <rPr>
            <b/>
            <sz val="9"/>
            <rFont val="Tahoma"/>
            <family val="2"/>
          </rPr>
          <t>Andi Nygaard:</t>
        </r>
        <r>
          <rPr>
            <sz val="9"/>
            <rFont val="Tahoma"/>
            <family val="2"/>
          </rPr>
          <t xml:space="preserve">
0.00649373798747598 is tons per hectar
10,000 converts sqm to hectars 
15 converts pm10 to pm2.5 weight equivalents.</t>
        </r>
      </text>
    </comment>
  </commentList>
</comments>
</file>

<file path=xl/sharedStrings.xml><?xml version="1.0" encoding="utf-8"?>
<sst xmlns="http://schemas.openxmlformats.org/spreadsheetml/2006/main" count="2251" uniqueCount="695">
  <si>
    <t>Domestic violence</t>
  </si>
  <si>
    <t>Prison release</t>
  </si>
  <si>
    <t>Affordable housing</t>
  </si>
  <si>
    <t>Social housing</t>
  </si>
  <si>
    <t>Houses/semi-detached/townhouses</t>
  </si>
  <si>
    <t>Apartment style</t>
  </si>
  <si>
    <t>1-bed</t>
  </si>
  <si>
    <t>2-bed</t>
  </si>
  <si>
    <t>3-bed</t>
  </si>
  <si>
    <t>4-bed</t>
  </si>
  <si>
    <t>Studio</t>
  </si>
  <si>
    <t>5-bed</t>
  </si>
  <si>
    <t>State</t>
  </si>
  <si>
    <t>Housing Infrastructure Funding</t>
  </si>
  <si>
    <t>Wider social and economic benefits</t>
  </si>
  <si>
    <t>Inflation adjusted to 2019</t>
  </si>
  <si>
    <t>Year</t>
  </si>
  <si>
    <t>Category</t>
  </si>
  <si>
    <t>Tenant</t>
  </si>
  <si>
    <t>Beneficiary</t>
  </si>
  <si>
    <t>Benefit p.p</t>
  </si>
  <si>
    <t>Impact ratio</t>
  </si>
  <si>
    <t>Number of HH</t>
  </si>
  <si>
    <t>Turnover</t>
  </si>
  <si>
    <t>Total</t>
  </si>
  <si>
    <t>Yr 1</t>
  </si>
  <si>
    <t>Yr 2</t>
  </si>
  <si>
    <t>Yr 3</t>
  </si>
  <si>
    <t>Yr 4</t>
  </si>
  <si>
    <t>Yr 5</t>
  </si>
  <si>
    <t>Yr 6</t>
  </si>
  <si>
    <t>Yr 7</t>
  </si>
  <si>
    <t>Yr 8</t>
  </si>
  <si>
    <t>Yr 9</t>
  </si>
  <si>
    <t>Yr 10</t>
  </si>
  <si>
    <t>Yr 11</t>
  </si>
  <si>
    <t>Yr 12</t>
  </si>
  <si>
    <t>Yr 13</t>
  </si>
  <si>
    <t>Yr 14</t>
  </si>
  <si>
    <t>Yr 15</t>
  </si>
  <si>
    <t>Yr 16</t>
  </si>
  <si>
    <t>Yr 17</t>
  </si>
  <si>
    <t>Yr 18</t>
  </si>
  <si>
    <t>Yr 19</t>
  </si>
  <si>
    <t>Yr 20</t>
  </si>
  <si>
    <t>Yr 21</t>
  </si>
  <si>
    <t>Yr 22</t>
  </si>
  <si>
    <t>Yr 23</t>
  </si>
  <si>
    <t>Yr 24</t>
  </si>
  <si>
    <t>Yr 25</t>
  </si>
  <si>
    <t>Yr 26</t>
  </si>
  <si>
    <t>Yr 27</t>
  </si>
  <si>
    <t>Yr 28</t>
  </si>
  <si>
    <t>Yr 29</t>
  </si>
  <si>
    <t>Yr 30</t>
  </si>
  <si>
    <t>Yr 31</t>
  </si>
  <si>
    <t>Yr 32</t>
  </si>
  <si>
    <t>Yr 33</t>
  </si>
  <si>
    <t>Yr 34</t>
  </si>
  <si>
    <t>Yr 35</t>
  </si>
  <si>
    <t>Yr 36</t>
  </si>
  <si>
    <t>Yr 37</t>
  </si>
  <si>
    <t>Yr 38</t>
  </si>
  <si>
    <t>Yr 39</t>
  </si>
  <si>
    <t>Yr 40</t>
  </si>
  <si>
    <t>Cash benefits</t>
  </si>
  <si>
    <t>Housing</t>
  </si>
  <si>
    <t>Public</t>
  </si>
  <si>
    <t>ASVB (public sec) temporary to secure</t>
  </si>
  <si>
    <t>Household finances</t>
  </si>
  <si>
    <t>Affordable rent</t>
  </si>
  <si>
    <t>Private</t>
  </si>
  <si>
    <t>ASVB make ends meet</t>
  </si>
  <si>
    <t>Complete Yr 12</t>
  </si>
  <si>
    <t>Health and DV</t>
  </si>
  <si>
    <t>Pers spend severe depression</t>
  </si>
  <si>
    <t>Pers spent other depression</t>
  </si>
  <si>
    <t>Public spend severe depression</t>
  </si>
  <si>
    <t>Public spend other depression</t>
  </si>
  <si>
    <t>Total monetary</t>
  </si>
  <si>
    <t>Combined</t>
  </si>
  <si>
    <t>Total sub</t>
  </si>
  <si>
    <t>Wellbeing benefits</t>
  </si>
  <si>
    <t>Total wellbeing</t>
  </si>
  <si>
    <t>Total wellbeing+private cash</t>
  </si>
  <si>
    <t>Total monetary and wellbeing</t>
  </si>
  <si>
    <t>NPV</t>
  </si>
  <si>
    <t>Monetary</t>
  </si>
  <si>
    <t xml:space="preserve">Combined </t>
  </si>
  <si>
    <t>Rent</t>
  </si>
  <si>
    <t>Type</t>
  </si>
  <si>
    <t>Dwelling Type</t>
  </si>
  <si>
    <t>$/dwelling/week</t>
  </si>
  <si>
    <t>Commercial Area</t>
  </si>
  <si>
    <t>$/sq m</t>
  </si>
  <si>
    <t>$/sq m/week</t>
  </si>
  <si>
    <t>General commercial</t>
  </si>
  <si>
    <t>Rental Rates</t>
  </si>
  <si>
    <t>Affordable Rental Rate (% of MARKET RENT)</t>
  </si>
  <si>
    <t>Social Rental Max Rental Rate (% of INCOME)</t>
  </si>
  <si>
    <t>Discount rate</t>
  </si>
  <si>
    <t>Children Yr 12</t>
  </si>
  <si>
    <t>Approximately 5% of children are Yr 12</t>
  </si>
  <si>
    <t>Parents SH</t>
  </si>
  <si>
    <t>Subtracting homeless and DV to min double counting</t>
  </si>
  <si>
    <t>Parents AF</t>
  </si>
  <si>
    <t>Overcrowding</t>
  </si>
  <si>
    <t>Approximately 10% of PRS in Sydney overcrowded</t>
  </si>
  <si>
    <t>Houses #</t>
  </si>
  <si>
    <t>Apartments #</t>
  </si>
  <si>
    <t>Social</t>
  </si>
  <si>
    <t xml:space="preserve">Affordable </t>
  </si>
  <si>
    <t>Studio #</t>
  </si>
  <si>
    <t>1-bed #</t>
  </si>
  <si>
    <t>2-bed #</t>
  </si>
  <si>
    <t>3-bed #</t>
  </si>
  <si>
    <t>4-bed #</t>
  </si>
  <si>
    <t>5-bed #</t>
  </si>
  <si>
    <t>Single adult %</t>
  </si>
  <si>
    <t>  Newstart %</t>
  </si>
  <si>
    <t>  DSP %</t>
  </si>
  <si>
    <t>  Pension %</t>
  </si>
  <si>
    <t>Single, 1 child %</t>
  </si>
  <si>
    <t>DSP, 1 child %</t>
  </si>
  <si>
    <t>Couple, 1 child %</t>
  </si>
  <si>
    <t>Single, 2 children %</t>
  </si>
  <si>
    <t>DSP, 2 children %</t>
  </si>
  <si>
    <t>Couple, 2 children %</t>
  </si>
  <si>
    <t>Single, 3 children %</t>
  </si>
  <si>
    <t>DSP, 3 children %</t>
  </si>
  <si>
    <t>Couple, 3 children %</t>
  </si>
  <si>
    <t>Couple, only %</t>
  </si>
  <si>
    <t>Sum</t>
  </si>
  <si>
    <t>SUM Houses</t>
  </si>
  <si>
    <t>SUM Apartments</t>
  </si>
  <si>
    <t>SUM all</t>
  </si>
  <si>
    <t>House</t>
  </si>
  <si>
    <t>Market Context Apartments</t>
  </si>
  <si>
    <t>Number of years</t>
  </si>
  <si>
    <t>Private wellbeing monetary</t>
  </si>
  <si>
    <t>Row Labels</t>
  </si>
  <si>
    <t>Grand Total</t>
  </si>
  <si>
    <t>Sum of Public cash monetary</t>
  </si>
  <si>
    <t>Sum of Private cash monetary</t>
  </si>
  <si>
    <t>Sum of Private wellbeing monetary</t>
  </si>
  <si>
    <t>Sum of Privtate cash and wellbeing monetary</t>
  </si>
  <si>
    <t>Sum of Total cash and wellbeing monetary</t>
  </si>
  <si>
    <t>Sum of Homlessness public sector offset</t>
  </si>
  <si>
    <t>Sum of Public sector health and DV offset</t>
  </si>
  <si>
    <t>Sum of Tenant finance</t>
  </si>
  <si>
    <t>Turnover rate</t>
  </si>
  <si>
    <t>Average 40 years</t>
  </si>
  <si>
    <t>Average per dwell, 40 years</t>
  </si>
  <si>
    <t>ENVIRONMENTAL MODULE</t>
  </si>
  <si>
    <t>Wrap-around homelessness service</t>
  </si>
  <si>
    <t>Wrap around</t>
  </si>
  <si>
    <t>No</t>
  </si>
  <si>
    <t>Yes</t>
  </si>
  <si>
    <t>Public  monetary</t>
  </si>
  <si>
    <t>Private monetary</t>
  </si>
  <si>
    <t>Private monetary and wellbeing monetary</t>
  </si>
  <si>
    <t>Total monetary and wellbeing monetary</t>
  </si>
  <si>
    <t>State/Territories</t>
  </si>
  <si>
    <t>ACT</t>
  </si>
  <si>
    <t>NSW</t>
  </si>
  <si>
    <t>NT</t>
  </si>
  <si>
    <t>Qld</t>
  </si>
  <si>
    <t>SA</t>
  </si>
  <si>
    <t>Tas</t>
  </si>
  <si>
    <t>Vic</t>
  </si>
  <si>
    <t>WA</t>
  </si>
  <si>
    <t>Location</t>
  </si>
  <si>
    <t>Capital City</t>
  </si>
  <si>
    <t>Regional City</t>
  </si>
  <si>
    <t>Note: Based on the ratio of rental prices within Sydney using bond lodgements from 2021.  For the capital city, inner-city bonds within 5km of postcode 2000 were excluded.</t>
  </si>
  <si>
    <t>6-bed</t>
  </si>
  <si>
    <t>Flat</t>
  </si>
  <si>
    <t>Ratio</t>
  </si>
  <si>
    <t>Bedrooms</t>
  </si>
  <si>
    <t>Search</t>
  </si>
  <si>
    <t>Price</t>
  </si>
  <si>
    <t>Reference and Notes</t>
  </si>
  <si>
    <t>West and North</t>
  </si>
  <si>
    <t>Outer South</t>
  </si>
  <si>
    <t>Sydney Outer</t>
  </si>
  <si>
    <t>Wollongong</t>
  </si>
  <si>
    <t>Scaled Northern Suburbs Median 3-bedroom</t>
  </si>
  <si>
    <t>Scaled Median 2-bedroom</t>
  </si>
  <si>
    <t>Scaled Alice Springs Median 3-bedroom</t>
  </si>
  <si>
    <t>Scaled Alice Springs Median</t>
  </si>
  <si>
    <t>Brisbane Outer</t>
  </si>
  <si>
    <t>Townsville</t>
  </si>
  <si>
    <t>Adelaide Outer</t>
  </si>
  <si>
    <t>Mt. Gambier</t>
  </si>
  <si>
    <t>Hobart Outer</t>
  </si>
  <si>
    <t>Launceston</t>
  </si>
  <si>
    <t>Melbourne Outer</t>
  </si>
  <si>
    <t>Ballarat</t>
  </si>
  <si>
    <t>Perth Outer (Don't specify by specific size)</t>
  </si>
  <si>
    <t>Albany (Don't specify by specific size)</t>
  </si>
  <si>
    <t>Representative market</t>
  </si>
  <si>
    <t>Representative market rents</t>
  </si>
  <si>
    <t>% of market rent</t>
  </si>
  <si>
    <t>Affordability rent discount</t>
  </si>
  <si>
    <t>Calculator</t>
  </si>
  <si>
    <t>Apartment style flats</t>
  </si>
  <si>
    <t>Detached/semi-detached/townhouses</t>
  </si>
  <si>
    <t>Number</t>
  </si>
  <si>
    <t>Average size (sqm)</t>
  </si>
  <si>
    <t>User providing rental data?</t>
  </si>
  <si>
    <t>Base year of calculation</t>
  </si>
  <si>
    <t>First year of operation</t>
  </si>
  <si>
    <t>Year of operation</t>
  </si>
  <si>
    <t>Using own rental information</t>
  </si>
  <si>
    <t>Per cent</t>
  </si>
  <si>
    <t>Select</t>
  </si>
  <si>
    <t>Inflation adjusted to base year</t>
  </si>
  <si>
    <t>Calculation basis</t>
  </si>
  <si>
    <t>REMEMBER TO ADJUST FOR BASE YEAR EFFECT</t>
  </si>
  <si>
    <t>NatHERS</t>
  </si>
  <si>
    <t>Aff</t>
  </si>
  <si>
    <t>Couple Only</t>
  </si>
  <si>
    <t>QLD</t>
  </si>
  <si>
    <t>TAS</t>
  </si>
  <si>
    <t>VIC</t>
  </si>
  <si>
    <t>Lone Person</t>
  </si>
  <si>
    <t>Apartments</t>
  </si>
  <si>
    <t>Houses</t>
  </si>
  <si>
    <t>Price Apartment</t>
  </si>
  <si>
    <t>Social housing rent per week</t>
  </si>
  <si>
    <t>Nominal saving social housing rent</t>
  </si>
  <si>
    <t>NB Base rent for each capital city and region based no 2019/20 SIH</t>
  </si>
  <si>
    <t>Rent by household composition based on distribution of rents 2017/18 SIH</t>
  </si>
  <si>
    <t>Effective market discount</t>
  </si>
  <si>
    <t>SOCIAL INFRASTRUCTURE MODULE</t>
  </si>
  <si>
    <t>Energy Rating (stars) - NatHERS Star Band Criteria (Energy Loads [thermal] in MJ/m2.annum)</t>
  </si>
  <si>
    <t>Canopy cover</t>
  </si>
  <si>
    <t>Yrs 1-5</t>
  </si>
  <si>
    <t>Yrs 6-10</t>
  </si>
  <si>
    <t>Yrs 10-20</t>
  </si>
  <si>
    <t>Yrs 20+</t>
  </si>
  <si>
    <t>CO2 sequestation</t>
  </si>
  <si>
    <t>CO2 sequestration total</t>
  </si>
  <si>
    <t>CO2 sequestration value, $</t>
  </si>
  <si>
    <t>12-month average EU carbon price</t>
  </si>
  <si>
    <t>Australian-EU currency exchange rate</t>
  </si>
  <si>
    <t>12-month average exchange rate</t>
  </si>
  <si>
    <t>Urban cooling</t>
  </si>
  <si>
    <t>Extreme temperature days</t>
  </si>
  <si>
    <t>Number of days over 30 degrees</t>
  </si>
  <si>
    <t xml:space="preserve">Public </t>
  </si>
  <si>
    <t>Development size</t>
  </si>
  <si>
    <t>Total sqm of development site</t>
  </si>
  <si>
    <t>Area of new/additional canopy coverage, sqm</t>
  </si>
  <si>
    <t>Health benefit from cooling (canopy v no veg)</t>
  </si>
  <si>
    <t>Memo items</t>
  </si>
  <si>
    <t>Pre-existing green open space, %</t>
  </si>
  <si>
    <t>Pre-existing canopy covered space, %</t>
  </si>
  <si>
    <t>After development green open space, %</t>
  </si>
  <si>
    <t>After development canopy covered space, %</t>
  </si>
  <si>
    <t xml:space="preserve"> --- Canopy coverage of small green spaces, sqm</t>
  </si>
  <si>
    <t xml:space="preserve"> --- Canopy coverage of medium green spaces, sqm</t>
  </si>
  <si>
    <t>Memo ites</t>
  </si>
  <si>
    <t>Number of properties</t>
  </si>
  <si>
    <t>After development canopy cover, sqm</t>
  </si>
  <si>
    <t>Health benefit from cooling (green space v no veg)</t>
  </si>
  <si>
    <t>After development green open space, sqm</t>
  </si>
  <si>
    <t>Reduced cooling cost (canopy v no veg)</t>
  </si>
  <si>
    <t>Reduced cooling cost green space v no veg)</t>
  </si>
  <si>
    <t>in tons</t>
  </si>
  <si>
    <t>Reduced GHG from cooling (canopy v no veg)</t>
  </si>
  <si>
    <t>Reduced GHG from cooling (green space v no veg)</t>
  </si>
  <si>
    <t>Electricity price</t>
  </si>
  <si>
    <t>Price per kwh, $</t>
  </si>
  <si>
    <t>Cooling</t>
  </si>
  <si>
    <t>Medium park</t>
  </si>
  <si>
    <t>Green space (medium)  - open and canopied (1,500m2 to 4,999m2)</t>
  </si>
  <si>
    <t>Green space (large) - open and canopied (5,000m2 to 50,000m2)</t>
  </si>
  <si>
    <t>Green space (small)  - open and canopied (300m2 to 1,499m2)</t>
  </si>
  <si>
    <t>Canopy provided along walkways and open spaces (excluding small, medium &amp; large green space), sqm</t>
  </si>
  <si>
    <t>Time value of money</t>
  </si>
  <si>
    <t>Real discount rate</t>
  </si>
  <si>
    <t>GHG reduction ($)</t>
  </si>
  <si>
    <t>CO2 sequestration (tons)</t>
  </si>
  <si>
    <t>Consumer prince index</t>
  </si>
  <si>
    <t>Energy poverty - reduced cooling cost ($)</t>
  </si>
  <si>
    <t>Heat and clean air benefit ($)</t>
  </si>
  <si>
    <t>Total monetary environmental ($)</t>
  </si>
  <si>
    <t>Lables for sequestration graph</t>
  </si>
  <si>
    <t>housing can provide.  The calculator consists of three components:</t>
  </si>
  <si>
    <t>INSTRUCTIONS</t>
  </si>
  <si>
    <t>This calculator will allow you to estimate the wider social, economic and environmental benefits associated with new S&amp;A-Housing development. In all instances, except homelessness, the counterfactual outcomes considered is private rental tenancy.</t>
  </si>
  <si>
    <t>Cells that are coloured in</t>
  </si>
  <si>
    <t>GREEN</t>
  </si>
  <si>
    <t xml:space="preserve">Cells that are coloured in </t>
  </si>
  <si>
    <t xml:space="preserve">All cells exepct those coloured in </t>
  </si>
  <si>
    <t>are intended to be locked to avoid inadvertedly changing calculations/methods.</t>
  </si>
  <si>
    <t>SUA_CODE_2016</t>
  </si>
  <si>
    <t>AREA_ALBERS_SQKM</t>
  </si>
  <si>
    <t>Total Persons Place of Usual Residence</t>
  </si>
  <si>
    <t>Density</t>
  </si>
  <si>
    <t>Not in any Significant Urban Area (NSW)</t>
  </si>
  <si>
    <t>Albury - Wodonga</t>
  </si>
  <si>
    <t>Armidale</t>
  </si>
  <si>
    <t>Ballina</t>
  </si>
  <si>
    <t>Batemans Bay</t>
  </si>
  <si>
    <t>Bathurst</t>
  </si>
  <si>
    <t>Bowral - Mittagong</t>
  </si>
  <si>
    <t>Broken Hill</t>
  </si>
  <si>
    <t>Camden Haven</t>
  </si>
  <si>
    <t>Central Coast</t>
  </si>
  <si>
    <t>Coffs Harbour</t>
  </si>
  <si>
    <t>Dubbo</t>
  </si>
  <si>
    <t>Forster - Tuncurry</t>
  </si>
  <si>
    <t>Goulburn</t>
  </si>
  <si>
    <t>Grafton</t>
  </si>
  <si>
    <t>Griffith</t>
  </si>
  <si>
    <t>Kempsey</t>
  </si>
  <si>
    <t>Lismore</t>
  </si>
  <si>
    <t>Lithgow</t>
  </si>
  <si>
    <t>Morisset - Cooranbong</t>
  </si>
  <si>
    <t>Mudgee</t>
  </si>
  <si>
    <t>Muswellbrook</t>
  </si>
  <si>
    <t>Nelson Bay</t>
  </si>
  <si>
    <t>Newcastle - Maitland</t>
  </si>
  <si>
    <t>Nowra - Bomaderry</t>
  </si>
  <si>
    <t>Orange</t>
  </si>
  <si>
    <t>Port Macquarie</t>
  </si>
  <si>
    <t>Singleton</t>
  </si>
  <si>
    <t>St Georges Basin - Sanctuary Point</t>
  </si>
  <si>
    <t>Sydney</t>
  </si>
  <si>
    <t>Tamworth</t>
  </si>
  <si>
    <t>Taree</t>
  </si>
  <si>
    <t>Ulladulla</t>
  </si>
  <si>
    <t>Wagga Wagga</t>
  </si>
  <si>
    <t>Not in any Significant Urban Area (Vic.)</t>
  </si>
  <si>
    <t>Bacchus Marsh</t>
  </si>
  <si>
    <t>Bairnsdale</t>
  </si>
  <si>
    <t>Bendigo</t>
  </si>
  <si>
    <t>Colac</t>
  </si>
  <si>
    <t>Echuca - Moama</t>
  </si>
  <si>
    <t>Geelong</t>
  </si>
  <si>
    <t>Horsham</t>
  </si>
  <si>
    <t>Melbourne</t>
  </si>
  <si>
    <t>Moe - Newborough</t>
  </si>
  <si>
    <t>Portland</t>
  </si>
  <si>
    <t>Sale</t>
  </si>
  <si>
    <t>Shepparton - Mooroopna</t>
  </si>
  <si>
    <t>Swan Hill</t>
  </si>
  <si>
    <t>Traralgon - Morwell</t>
  </si>
  <si>
    <t>Wangaratta</t>
  </si>
  <si>
    <t>Warragul - Drouin</t>
  </si>
  <si>
    <t>Warrnambool</t>
  </si>
  <si>
    <t>Not in any Significant Urban Area (Qld)</t>
  </si>
  <si>
    <t>Brisbane</t>
  </si>
  <si>
    <t>Bundaberg</t>
  </si>
  <si>
    <t>Cairns</t>
  </si>
  <si>
    <t>Emerald</t>
  </si>
  <si>
    <t>Gold Coast - Tweed Heads</t>
  </si>
  <si>
    <t>Gympie</t>
  </si>
  <si>
    <t>Hervey Bay</t>
  </si>
  <si>
    <t>Kingaroy</t>
  </si>
  <si>
    <t>Mackay</t>
  </si>
  <si>
    <t>Maryborough</t>
  </si>
  <si>
    <t>Mount Isa</t>
  </si>
  <si>
    <t>Rockhampton</t>
  </si>
  <si>
    <t>Sunshine Coast</t>
  </si>
  <si>
    <t>Toowoomba</t>
  </si>
  <si>
    <t>Warwick</t>
  </si>
  <si>
    <t>Yeppoon</t>
  </si>
  <si>
    <t>Not in any Significant Urban Area (SA)</t>
  </si>
  <si>
    <t>Adelaide</t>
  </si>
  <si>
    <t>Mount Gambier</t>
  </si>
  <si>
    <t>Murray Bridge</t>
  </si>
  <si>
    <t>Port Augusta</t>
  </si>
  <si>
    <t>Port Lincoln</t>
  </si>
  <si>
    <t>Port Pirie</t>
  </si>
  <si>
    <t>Victor Harbor - Goolwa</t>
  </si>
  <si>
    <t>Whyalla</t>
  </si>
  <si>
    <t>Not in any Significant Urban Area (WA)</t>
  </si>
  <si>
    <t>Albany</t>
  </si>
  <si>
    <t>Broome</t>
  </si>
  <si>
    <t>Bunbury</t>
  </si>
  <si>
    <t>Busselton</t>
  </si>
  <si>
    <t>Esperance</t>
  </si>
  <si>
    <t>Geraldton</t>
  </si>
  <si>
    <t>Kalgoorlie - Boulder</t>
  </si>
  <si>
    <t>Karratha</t>
  </si>
  <si>
    <t>Perth</t>
  </si>
  <si>
    <t>Port Hedland</t>
  </si>
  <si>
    <t>Not in any Significant Urban Area (Tas.)</t>
  </si>
  <si>
    <t>Devonport</t>
  </si>
  <si>
    <t>Hobart</t>
  </si>
  <si>
    <t>Ulverstone</t>
  </si>
  <si>
    <t>Not in any Significant Urban Area (NT)</t>
  </si>
  <si>
    <t>Alice Springs</t>
  </si>
  <si>
    <t>Darwin</t>
  </si>
  <si>
    <t>Not in any Significant Urban Area (ACT)</t>
  </si>
  <si>
    <t>Canberra - Queanbeyan</t>
  </si>
  <si>
    <t>Not in any Significant Urban Area (OT)</t>
  </si>
  <si>
    <t xml:space="preserve">Air quality </t>
  </si>
  <si>
    <t>Damage cost per ton, 2022</t>
  </si>
  <si>
    <t>Significant Urban Area</t>
  </si>
  <si>
    <t>2022 values (assumed 5% infl in 2022)</t>
  </si>
  <si>
    <t>Allocations to individuals exiting prison</t>
  </si>
  <si>
    <t>Table</t>
  </si>
  <si>
    <t>0 CHILDREN (Studios and 1 bedroom)</t>
  </si>
  <si>
    <t>ONE CHILD (2 bedroom)</t>
  </si>
  <si>
    <t>TWO CHILDREN (3 bedroom)</t>
  </si>
  <si>
    <t>THREE CHILDREN (4 bedroom)</t>
  </si>
  <si>
    <t>FOUR+ CHILDREN (5 bedroom)</t>
  </si>
  <si>
    <t>Couple</t>
  </si>
  <si>
    <t>Studio 1-bed</t>
  </si>
  <si>
    <t>Available Special 1-bedroom housing</t>
  </si>
  <si>
    <t>ASVB (WV) temporary to social</t>
  </si>
  <si>
    <t>ASVB (WV) homelessness to social hse</t>
  </si>
  <si>
    <t>ASVB Overcrowding relief</t>
  </si>
  <si>
    <t>ASVB (WV) Completed Yr12</t>
  </si>
  <si>
    <t>ASVB (WV) Anxiety relief</t>
  </si>
  <si>
    <t>ASVB (WV) Overcrowding relief</t>
  </si>
  <si>
    <t>ASVB (WV) Parental stress</t>
  </si>
  <si>
    <t>Flatau et al homelessness to social hse, net/no program</t>
  </si>
  <si>
    <t>ASVB homlessness to social hse</t>
  </si>
  <si>
    <t>ASVB temporary to social</t>
  </si>
  <si>
    <t>Extensive green roofs</t>
  </si>
  <si>
    <t>Air quality from green roofs</t>
  </si>
  <si>
    <t>Extensive green roofs, sqm</t>
  </si>
  <si>
    <t>CZ</t>
  </si>
  <si>
    <t>Heat</t>
  </si>
  <si>
    <t>Cool</t>
  </si>
  <si>
    <t>Wood</t>
  </si>
  <si>
    <t>Gas</t>
  </si>
  <si>
    <t>Electricity</t>
  </si>
  <si>
    <t>Share Wood</t>
  </si>
  <si>
    <t>Share Gas</t>
  </si>
  <si>
    <t>Share Electricity</t>
  </si>
  <si>
    <t>Electricity ($ per kWh)</t>
  </si>
  <si>
    <t>Gas ($ per kWh)</t>
  </si>
  <si>
    <t>Wood ($ per kWh)</t>
  </si>
  <si>
    <t>Wood kg CO2-e per kWh</t>
  </si>
  <si>
    <t>Gas CO2 per kWh</t>
  </si>
  <si>
    <t>Electricity CO2-e per kWh</t>
  </si>
  <si>
    <t>Source: Australian Energy Statistics 2022 Table F; DISER</t>
  </si>
  <si>
    <t>Data derived mostly from canstar and comparethemarket</t>
  </si>
  <si>
    <t>Based on wood pellet prices in Melbourne
Energy content roughly on low end of pellets; 4 kWh per kg</t>
  </si>
  <si>
    <t>National Greenhouse Accounts Factors Table 1; Direct CO2 assumed 0 as assumed to be balanced against the regrowth of biomass</t>
  </si>
  <si>
    <t>National Greenhouse Accounts Factors Table 2 based on Natural gas distributed in a pipeline</t>
  </si>
  <si>
    <t>National Greenhouse Accounts Factors Tables 1-3 and Australian Energy Statistics Table O9; DISER</t>
  </si>
  <si>
    <t>CO2-e is the equivalent to CO2 for CO2, CH4 and N2O</t>
  </si>
  <si>
    <t>Note: Only direct emissions from burning</t>
  </si>
  <si>
    <t>Energy Data</t>
  </si>
  <si>
    <t>NATHERS</t>
  </si>
  <si>
    <t>National dwellings derived from Victoria and northern Tasmania existing dwellings</t>
  </si>
  <si>
    <t>Existing</t>
  </si>
  <si>
    <t>SEER</t>
  </si>
  <si>
    <t>Star</t>
  </si>
  <si>
    <t>Based on 3-star energy</t>
  </si>
  <si>
    <t>Heating (Electricity)</t>
  </si>
  <si>
    <t>Based on 3.5-star energy</t>
  </si>
  <si>
    <t>Air Conditioning - Australian Housing Data (csiro.au)</t>
  </si>
  <si>
    <t>Efficiency</t>
  </si>
  <si>
    <t>Heating (Gas)</t>
  </si>
  <si>
    <t>Assuming 3 star rating for gas space</t>
  </si>
  <si>
    <t>Heating (Wood/Pellet)</t>
  </si>
  <si>
    <t>Average of general efficiency of wood and pellet stoves</t>
  </si>
  <si>
    <t>Stars</t>
  </si>
  <si>
    <t>Heat Sources</t>
  </si>
  <si>
    <t>Sh Wood</t>
  </si>
  <si>
    <t>Sh Gas</t>
  </si>
  <si>
    <t>Sh Elec</t>
  </si>
  <si>
    <t>Base loading (annual kWh per m2)</t>
  </si>
  <si>
    <t>Heating</t>
  </si>
  <si>
    <t>Base Energy Requirements (annual kWh per m2)</t>
  </si>
  <si>
    <t>Wood Ht</t>
  </si>
  <si>
    <t>Gas Ht</t>
  </si>
  <si>
    <t>Elec Ht</t>
  </si>
  <si>
    <t>Elec Cool</t>
  </si>
  <si>
    <t>Base Energy Costs ($ per m2)</t>
  </si>
  <si>
    <t>Elec</t>
  </si>
  <si>
    <t>Base CO2-e (kg per m2)</t>
  </si>
  <si>
    <t>Energy Star Rating (Cooling)</t>
  </si>
  <si>
    <t>Energy Star Rating (Heating)</t>
  </si>
  <si>
    <t>Energy Savings</t>
  </si>
  <si>
    <t>$</t>
  </si>
  <si>
    <t>$ per kWh</t>
  </si>
  <si>
    <t>kWh (Thermal)</t>
  </si>
  <si>
    <t>Total ($ per m2)</t>
  </si>
  <si>
    <t>Base Cost ($ per m2)</t>
  </si>
  <si>
    <t>Affordable housing Cost ($ per m2)</t>
  </si>
  <si>
    <t>Heating (Defaults Nathers 7; ES 5)</t>
  </si>
  <si>
    <t>Cooling (Defaults Nathers 7; ES 5)</t>
  </si>
  <si>
    <t>Housing/Semi-detached</t>
  </si>
  <si>
    <t>Apartment</t>
  </si>
  <si>
    <t>Social housing Cost ($ per m2)</t>
  </si>
  <si>
    <t>Base kg CO2-e per m2</t>
  </si>
  <si>
    <t>kg CO2-e per m2</t>
  </si>
  <si>
    <t>Energy ratings affordable house/semi-detached/townhouses</t>
  </si>
  <si>
    <t>Energy ratings affordable apartment style</t>
  </si>
  <si>
    <t>Energy ratings social house/semi-detached/townhouses</t>
  </si>
  <si>
    <t>Energy ratings social apartment style</t>
  </si>
  <si>
    <t>CO2 emissinos</t>
  </si>
  <si>
    <t>Sqm</t>
  </si>
  <si>
    <t>Benefit</t>
  </si>
  <si>
    <t>Soc</t>
  </si>
  <si>
    <t>Total dwelling</t>
  </si>
  <si>
    <t>Total sqm</t>
  </si>
  <si>
    <t>Deduct non-traditionals</t>
  </si>
  <si>
    <t>CPI</t>
  </si>
  <si>
    <t>Average sqm</t>
  </si>
  <si>
    <t>Total household energy saving benefit</t>
  </si>
  <si>
    <t>Total CO2 emissions social value benefit</t>
  </si>
  <si>
    <t>Total  CO2 tons benefit</t>
  </si>
  <si>
    <t xml:space="preserve">kg CO2-e </t>
  </si>
  <si>
    <t>tons CO2-e</t>
  </si>
  <si>
    <t>Combined CO2 costs from 'Energy and Carbon' and 'Green Infrastructure' modules</t>
  </si>
  <si>
    <t>Combined CO2 tons benefit</t>
  </si>
  <si>
    <t>Combined CO2 emissions social value</t>
  </si>
  <si>
    <t>Combined 'cost of living' from 'Energy and Carbon', Green Infrastructure' and 'Social Infrastructure'</t>
  </si>
  <si>
    <t>Combined energy expenditure reduction</t>
  </si>
  <si>
    <t>Combined energy expenditure reduction ($)</t>
  </si>
  <si>
    <t>Health benefits from 'Green Infrastructure' module</t>
  </si>
  <si>
    <t>Nominal rental saving affordable dwellings</t>
  </si>
  <si>
    <t>Nominal rental saving social housing dwelling</t>
  </si>
  <si>
    <t>Number affordable</t>
  </si>
  <si>
    <t>Number social</t>
  </si>
  <si>
    <t>Total nominal rental saving</t>
  </si>
  <si>
    <t>Nominal rental reduction ($)</t>
  </si>
  <si>
    <t>NPV Energy expenditure ($)</t>
  </si>
  <si>
    <t>NPV Clean air benefit ($)</t>
  </si>
  <si>
    <t>Combined cost of living relief, nominal ($)</t>
  </si>
  <si>
    <t>HOUSING DEVELOPMENT DETAILS</t>
  </si>
  <si>
    <t>MARKET DETAILS</t>
  </si>
  <si>
    <t>Number of houses with access to train, tram or light rail within 800 meters</t>
  </si>
  <si>
    <t>Number of apartment-style properties with access to train, tram or light rail within 800 meters</t>
  </si>
  <si>
    <t>Number of apartment-style properties with access to active transport options within 400 meters</t>
  </si>
  <si>
    <t>ACCESS TO TRANSPORTATION OPTIONS</t>
  </si>
  <si>
    <t>Apartment style properties</t>
  </si>
  <si>
    <t>Number of houses with access to large park within within 400 meters (5 min walk)</t>
  </si>
  <si>
    <t>Willingness to pay</t>
  </si>
  <si>
    <t>PRE-DEVELOPMENT GREEN LANDSCAPING CHARACTERISTICS</t>
  </si>
  <si>
    <t>WILLINGNESS TO PAY</t>
  </si>
  <si>
    <t>Balcony/garden</t>
  </si>
  <si>
    <t>Large park</t>
  </si>
  <si>
    <t>Public transport</t>
  </si>
  <si>
    <t>Flats</t>
  </si>
  <si>
    <t>Active transport</t>
  </si>
  <si>
    <t>Number of dwellings</t>
  </si>
  <si>
    <t>One parent allocations</t>
  </si>
  <si>
    <t>Vacancy rate</t>
  </si>
  <si>
    <t>Turnover or vacancy</t>
  </si>
  <si>
    <t>Balcony, patio or garden</t>
  </si>
  <si>
    <t>In sqm</t>
  </si>
  <si>
    <t>Urban area</t>
  </si>
  <si>
    <t>Large park (houses)</t>
  </si>
  <si>
    <t>Access to public transport (houses)</t>
  </si>
  <si>
    <t>Balcony/private garden (flats)</t>
  </si>
  <si>
    <t>Medium parks (flats)</t>
  </si>
  <si>
    <t>Large park (flats)</t>
  </si>
  <si>
    <t>Access to active transport (flats)</t>
  </si>
  <si>
    <t>Access to public transport (flats)</t>
  </si>
  <si>
    <t>Inflation adjusted</t>
  </si>
  <si>
    <t>Number of balconies</t>
  </si>
  <si>
    <t>Affordable</t>
  </si>
  <si>
    <t>1 bed</t>
  </si>
  <si>
    <t>2 bed</t>
  </si>
  <si>
    <t>Appts</t>
  </si>
  <si>
    <t>Hse</t>
  </si>
  <si>
    <t>Total Affordable</t>
  </si>
  <si>
    <t>Total Social</t>
  </si>
  <si>
    <t>Some 17% of allocations went to those at risk of homelessness due to health/life danger at present accommodation.</t>
  </si>
  <si>
    <r>
      <t xml:space="preserve">Sum WTP  </t>
    </r>
    <r>
      <rPr>
        <i/>
        <sz val="11"/>
        <color rgb="FFFF0000"/>
        <rFont val="Calibri"/>
        <family val="2"/>
        <scheme val="minor"/>
      </rPr>
      <t>(only sums if market valuation is switched off) summed under wellbeing (not this page)</t>
    </r>
  </si>
  <si>
    <t>Health benefit - canopy cooling</t>
  </si>
  <si>
    <t>Health benefit - canopy air quality</t>
  </si>
  <si>
    <t>Domestic Violence (annual: health)</t>
  </si>
  <si>
    <t>Domestic violence (one off: disability adj life yrs)</t>
  </si>
  <si>
    <t>Difference in kg CO2-e per m2 compared to base</t>
  </si>
  <si>
    <t>Change in Total Compared to Base ($ per m2)</t>
  </si>
  <si>
    <t>*</t>
  </si>
  <si>
    <t>Properties for people with disability</t>
  </si>
  <si>
    <t>In good condition for people with disability</t>
  </si>
  <si>
    <t>ASVB in good condition for disability</t>
  </si>
  <si>
    <t>These are 2021 Census values</t>
  </si>
  <si>
    <t>SUA_NAME_2021</t>
  </si>
  <si>
    <t>Byron Bay</t>
  </si>
  <si>
    <t>Medowie</t>
  </si>
  <si>
    <t>Castlemaine</t>
  </si>
  <si>
    <t>Gisborne</t>
  </si>
  <si>
    <t>Mildura - Buronga</t>
  </si>
  <si>
    <t>Airlie Beach - Cannonvale</t>
  </si>
  <si>
    <t>Gladstone</t>
  </si>
  <si>
    <t>Burnie - Somerset</t>
  </si>
  <si>
    <t>Insignificant Region</t>
  </si>
  <si>
    <t>ASVB disability homlessness to social</t>
  </si>
  <si>
    <t>ASVB disability temporary to social</t>
  </si>
  <si>
    <t>Consumer price inflation</t>
  </si>
  <si>
    <t>ENVIRONMENTAL &amp; LOCAL AMENITY DETAILS</t>
  </si>
  <si>
    <t>MEMO ITEMS FOR CALCULATION</t>
  </si>
  <si>
    <t>RENTAL INFORMATION</t>
  </si>
  <si>
    <t>ACCESS TO GREEN LANDSCAPING OPTIONS</t>
  </si>
  <si>
    <t>Green space - open and canopied (total sqm)</t>
  </si>
  <si>
    <t xml:space="preserve"> ---Canopy covered green space, sqm</t>
  </si>
  <si>
    <t>POST-DEVELOPMENT LANDSCAPE CHARACTERISTICS</t>
  </si>
  <si>
    <t>Type of landscaping</t>
  </si>
  <si>
    <t>All properties combined</t>
  </si>
  <si>
    <t>Approximate number of people within 1-400 meters of green space</t>
  </si>
  <si>
    <t>Number of apartments with access to medium size park within within 200 meters (2-3 min walk)</t>
  </si>
  <si>
    <t>Number of apartments with access to large size park within within 400 meters (5 min walk)</t>
  </si>
  <si>
    <t>Number of properties within 1-400 meters of NEW green space/landscaping</t>
  </si>
  <si>
    <t>NPV Combined cost of living relief, nominal ($)</t>
  </si>
  <si>
    <t>Average per dwell, per annum (40)</t>
  </si>
  <si>
    <t>Average per annum (40)</t>
  </si>
  <si>
    <t>Total over 40 years</t>
  </si>
  <si>
    <t>MONETISED BENEFITS HOUSING DEVELOPMENT INPUTS</t>
  </si>
  <si>
    <t>MONETISED BENEFITS ENVIRONMENTAL AND LOCAL AMENITIES INPUTS</t>
  </si>
  <si>
    <t>NPV Urban heat health benefit ($)</t>
  </si>
  <si>
    <t>Total public benefit ($)</t>
  </si>
  <si>
    <t>Total private benefit ($)</t>
  </si>
  <si>
    <t>Total private benefit + wellbeing ($)</t>
  </si>
  <si>
    <t>NPV Total public benefit ($)</t>
  </si>
  <si>
    <t>NPV Total private benefit ($)</t>
  </si>
  <si>
    <t>NPV Total private benefit + wellbeing ($)</t>
  </si>
  <si>
    <t>NPV Housing development inputs ($)</t>
  </si>
  <si>
    <t>COMBINED COST OF LIVING RELIEF, NOMINAL ($)</t>
  </si>
  <si>
    <t>Total environmental and local amenity inputs ($)</t>
  </si>
  <si>
    <t>Air quality from tree canopy</t>
  </si>
  <si>
    <t>SPECIALISED TENANT SERVICES (CHOICE-BASED CHARACTERISTICS)</t>
  </si>
  <si>
    <t>DEVELOPMENT DESIGN (PROBABILISTIC-BASED CHARACTERISTICS)</t>
  </si>
  <si>
    <t xml:space="preserve">2. An environmental and local amenities component that estimates access to transport and local amenities, CO2 sequestration, monetary equivalents of greenhouse gas reduction, health and tenant financial benefits from the provision of green infrastructure components. </t>
  </si>
  <si>
    <t>Homeless and specialised tenant allocations SH</t>
  </si>
  <si>
    <t>Homeless and specialised tenant allocations AF</t>
  </si>
  <si>
    <t>Sum rental benefit social housing</t>
  </si>
  <si>
    <t>Sum rental benefit affordable housing</t>
  </si>
  <si>
    <t xml:space="preserve"> --- Canopy coverage of large green spaces, sqm</t>
  </si>
  <si>
    <t>Social Housing</t>
  </si>
  <si>
    <t>Homeless: long-term (12+ months), rough sleep</t>
  </si>
  <si>
    <t>Homeless: other (disability)</t>
  </si>
  <si>
    <t>Homeless: other</t>
  </si>
  <si>
    <t>Homeless: presenting with Domestic Violence</t>
  </si>
  <si>
    <t>Homeless: long-term (12+ months), rough sleep (dis.)</t>
  </si>
  <si>
    <t>EU ETS Carbon Price in EUR</t>
  </si>
  <si>
    <t>Four growth phases assumed</t>
  </si>
  <si>
    <t>Growth phases</t>
  </si>
  <si>
    <t>(Year1-5=0.25, Year 6-10=0.5; Year 11-20=0.75; Year 20+=1.0)</t>
  </si>
  <si>
    <t>Other open green space such as flower beds or grassed areas (not canopied), sqm</t>
  </si>
  <si>
    <t>tons CO2-e per 10%, per household</t>
  </si>
  <si>
    <t>From carbon price</t>
  </si>
  <si>
    <t>Nominal</t>
  </si>
  <si>
    <t>Real</t>
  </si>
  <si>
    <t>tons</t>
  </si>
  <si>
    <t>Energy and GHG sequestration CO2 abatement, per dwelling, per year</t>
  </si>
  <si>
    <t>Energy and GHG sequestration CO2 abatement, per year</t>
  </si>
  <si>
    <t>Energy and GHG sequestration CO2 abatemenet, 40 years</t>
  </si>
  <si>
    <t>Health benefit from green infrastructure cooling ($)</t>
  </si>
  <si>
    <t>NPV Energy abatement and GHG sequestration ($)</t>
  </si>
  <si>
    <t>Energy abatement and GHG sequestration (CO2 tons) benefit</t>
  </si>
  <si>
    <t>Energy abatement and GHG sequestration social value ($)</t>
  </si>
  <si>
    <t>GHG sequestration social value ($)</t>
  </si>
  <si>
    <t>Green infrastructure GHG sequestration</t>
  </si>
  <si>
    <t>NPV GHG sequestration ($)</t>
  </si>
  <si>
    <t>SIGMAH (Social Infrastructure and Green Measures for Affordable Housing) aims to provide social and affordable housing developers</t>
  </si>
  <si>
    <t>are currently adjustable. Enter relevant information about housing, tenants, amenities, green space and building materials in these.</t>
  </si>
  <si>
    <t>PEACH</t>
  </si>
  <si>
    <t xml:space="preserve">will appear, dissapear or contain notifications and information depending on other settings in the calculator. </t>
  </si>
  <si>
    <t>Total social housing dwellings</t>
  </si>
  <si>
    <t>Total affordable dwellings</t>
  </si>
  <si>
    <t>Rent index</t>
  </si>
  <si>
    <t>Wrap-around provided homeless (long-term)</t>
  </si>
  <si>
    <t>Wrap-around provided homeless (other)</t>
  </si>
  <si>
    <t>SIGMAH was funded by:</t>
  </si>
  <si>
    <t>Total housing development inputs ($)</t>
  </si>
  <si>
    <t>Clean air benefit from green infrastructure ($)</t>
  </si>
  <si>
    <t>NPV Total environmental and energy benefit ($)</t>
  </si>
  <si>
    <t>Based on CPI: https://www.abs.gov.au/statistics/economy/price-indexes-and-inflation/consumer-price-index-australia/jun-quarter-2023</t>
  </si>
  <si>
    <t>Based on rent component of CPI: https://www.abs.gov.au/statistics/economy/price-indexes-and-inflation/consumer-price-index-australia/jun-quarter-2023</t>
  </si>
  <si>
    <t>Test for property count</t>
  </si>
  <si>
    <t>Note: Bottom Quantile rents were based on 2-bedroom houses and flats as found within the March 2022 quarter REIA Real Estate Market Facts</t>
  </si>
  <si>
    <t>Base Price</t>
  </si>
  <si>
    <t>Source: NewNathers 9May2023.xlsx</t>
  </si>
  <si>
    <t>Deprecated</t>
  </si>
  <si>
    <t>Errors in this case would be good rather than just being plugged in as a default 0</t>
  </si>
  <si>
    <t>Note: Leaving above in here as text to double check that it wasn't used.</t>
  </si>
  <si>
    <t>No longer needed as special allocations will be across all bedrooms</t>
  </si>
  <si>
    <t>GHG reduction, sequestration+cooling ($)</t>
  </si>
  <si>
    <t>CO2 reduction (tons) cooling</t>
  </si>
  <si>
    <t>GHG reduction social value from green infrastructure cooling ($)</t>
  </si>
  <si>
    <t>CO2 sequestration (social value $)</t>
  </si>
  <si>
    <t>CO2 reduction (social value $) cooling</t>
  </si>
  <si>
    <t>GHG sequestration (CO2) benefit (tons)</t>
  </si>
  <si>
    <t>Total health and clean air benefit ($)</t>
  </si>
  <si>
    <t>GHG reduction from green infrastructure cooling (CO2 tons)</t>
  </si>
  <si>
    <t>Combined housing development, environmental and local amenity inputs ($)</t>
  </si>
  <si>
    <t>NPV combined housing development, envionrmental and local amenity inputs ($)</t>
  </si>
  <si>
    <t>with estimates of the wider social, economic and environmental benefits that social and affordable (S&amp;A)</t>
  </si>
  <si>
    <t xml:space="preserve">1. A social and affordable (tenure) specific module that estimates of public sector cost offsets, tenant financial benefits and tenant wellbeing benefits. </t>
  </si>
  <si>
    <r>
      <t xml:space="preserve">3. A carbon footprint module that aims to provide estimates of embodied CO2 footprint from new construction and GHG and tenant financial benefits from better building standards. </t>
    </r>
    <r>
      <rPr>
        <u val="single"/>
        <sz val="11"/>
        <color theme="1"/>
        <rFont val="Calibri"/>
        <family val="2"/>
        <scheme val="minor"/>
      </rPr>
      <t>This version of SIGMAH does not contain the embodied CO2 module.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</si>
</sst>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quot;$&quot;#,##0"/>
    <numFmt numFmtId="6" formatCode="&quot;$&quot;#,##0;[Red]\-&quot;$&quot;#,##0"/>
    <numFmt numFmtId="7" formatCode="&quot;$&quot;#,##0.00;\-&quot;$&quot;#,##0.00"/>
    <numFmt numFmtId="44" formatCode="_-&quot;$&quot;* #,##0.00_-;\-&quot;$&quot;* #,##0.00_-;_-&quot;$&quot;* &quot;-&quot;??_-;_-@_-"/>
    <numFmt numFmtId="43" formatCode="_-* #,##0.00_-;\-* #,##0.00_-;_-* &quot;-&quot;??_-;_-@_-"/>
    <numFmt numFmtId="164" formatCode="#,##0_);\(#,##0\);\-_)"/>
    <numFmt numFmtId="165" formatCode="_-&quot;$&quot;* #,##0_-;\-&quot;$&quot;* #,##0_-;_-&quot;$&quot;* &quot;-&quot;??_-;_-@_-"/>
    <numFmt numFmtId="166" formatCode="0.0%"/>
    <numFmt numFmtId="167" formatCode="0.0"/>
    <numFmt numFmtId="168" formatCode="#,##0_ ;\-#,##0\ "/>
    <numFmt numFmtId="169" formatCode="#,##0.00_ ;\-#,##0.00\ "/>
    <numFmt numFmtId="170" formatCode="_-* #,##0_-;\-* #,##0_-;_-* &quot;-&quot;??_-;_-@_-"/>
    <numFmt numFmtId="171" formatCode="_-&quot;$&quot;* #,##0.0_-;\-&quot;$&quot;* #,##0.0_-;_-&quot;$&quot;* &quot;-&quot;??_-;_-@_-"/>
    <numFmt numFmtId="172" formatCode="0.0000"/>
    <numFmt numFmtId="173" formatCode="#,##0.0000_ ;\-#,##0.0000\ "/>
    <numFmt numFmtId="174" formatCode="[$€-2]\ #,##0.00"/>
    <numFmt numFmtId="175" formatCode="0.00000"/>
    <numFmt numFmtId="176" formatCode="0.000"/>
  </numFmts>
  <fonts count="47">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9"/>
      <name val="Tahoma"/>
      <family val="2"/>
    </font>
    <font>
      <b/>
      <sz val="9"/>
      <name val="Tahoma"/>
      <family val="2"/>
    </font>
    <font>
      <b/>
      <sz val="10"/>
      <color theme="0"/>
      <name val="Calibri"/>
      <family val="2"/>
      <scheme val="minor"/>
    </font>
    <font>
      <sz val="10"/>
      <color theme="1"/>
      <name val="Calibri"/>
      <family val="2"/>
      <scheme val="minor"/>
    </font>
    <font>
      <sz val="10"/>
      <name val="Calibri"/>
      <family val="2"/>
      <scheme val="minor"/>
    </font>
    <font>
      <sz val="11"/>
      <color rgb="FFC00000"/>
      <name val="Calibri"/>
      <family val="2"/>
      <scheme val="minor"/>
    </font>
    <font>
      <strike/>
      <sz val="11"/>
      <color rgb="FFFF0000"/>
      <name val="Calibri"/>
      <family val="2"/>
      <scheme val="minor"/>
    </font>
    <font>
      <b/>
      <sz val="11"/>
      <color rgb="FFFF0000"/>
      <name val="Calibri"/>
      <family val="2"/>
      <scheme val="minor"/>
    </font>
    <font>
      <b/>
      <sz val="11"/>
      <name val="Calibri"/>
      <family val="2"/>
      <scheme val="minor"/>
    </font>
    <font>
      <sz val="11"/>
      <color theme="9" tint="-0.4999699890613556"/>
      <name val="Calibri"/>
      <family val="2"/>
      <scheme val="minor"/>
    </font>
    <font>
      <b/>
      <sz val="16"/>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sz val="10"/>
      <color rgb="FFFF0000"/>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sz val="12"/>
      <color rgb="FFC00000"/>
      <name val="Calibri"/>
      <family val="2"/>
      <scheme val="minor"/>
    </font>
    <font>
      <sz val="11"/>
      <color rgb="FF000000"/>
      <name val="Calibri"/>
      <family val="2"/>
      <scheme val="minor"/>
    </font>
    <font>
      <u val="single"/>
      <sz val="11"/>
      <color theme="10"/>
      <name val="Calibri"/>
      <family val="2"/>
      <scheme val="minor"/>
    </font>
    <font>
      <b/>
      <sz val="12"/>
      <color rgb="FFFF0000"/>
      <name val="Calibri"/>
      <family val="2"/>
      <scheme val="minor"/>
    </font>
    <font>
      <b/>
      <i/>
      <sz val="12"/>
      <name val="Calibri"/>
      <family val="2"/>
      <scheme val="minor"/>
    </font>
    <font>
      <i/>
      <sz val="11"/>
      <color rgb="FFFF0000"/>
      <name val="Calibri"/>
      <family val="2"/>
      <scheme val="minor"/>
    </font>
    <font>
      <strike/>
      <sz val="11"/>
      <color theme="1"/>
      <name val="Calibri"/>
      <family val="2"/>
      <scheme val="minor"/>
    </font>
    <font>
      <b/>
      <sz val="9"/>
      <color rgb="FF000000"/>
      <name val="Tahoma"/>
      <family val="2"/>
    </font>
    <font>
      <sz val="9"/>
      <color rgb="FF000000"/>
      <name val="Tahoma"/>
      <family val="2"/>
    </font>
    <font>
      <b/>
      <sz val="16"/>
      <color rgb="FF00B0F0"/>
      <name val="Calibri"/>
      <family val="2"/>
      <scheme val="minor"/>
    </font>
    <font>
      <b/>
      <sz val="16"/>
      <color rgb="FF00BAFC"/>
      <name val="Calibri"/>
      <family val="2"/>
      <scheme val="minor"/>
    </font>
    <font>
      <u val="single"/>
      <sz val="11"/>
      <color theme="1"/>
      <name val="Calibri"/>
      <family val="2"/>
      <scheme val="minor"/>
    </font>
    <font>
      <sz val="12"/>
      <color theme="1" tint="0.35"/>
      <name val="Calibri"/>
      <family val="2"/>
    </font>
    <font>
      <sz val="9"/>
      <color theme="1" tint="0.25"/>
      <name val="Calibri"/>
      <family val="2"/>
    </font>
    <font>
      <sz val="9"/>
      <color theme="1" tint="0.35"/>
      <name val="+mn-cs"/>
      <family val="2"/>
    </font>
    <font>
      <sz val="14"/>
      <color theme="1"/>
      <name val="Calibri"/>
      <family val="2"/>
    </font>
    <font>
      <sz val="14"/>
      <color theme="1" tint="0.35"/>
      <name val="Calibri"/>
      <family val="2"/>
    </font>
    <font>
      <b/>
      <sz val="11"/>
      <color theme="1"/>
      <name val="Calibri"/>
      <family val="2"/>
    </font>
    <font>
      <sz val="11"/>
      <color theme="1"/>
      <name val="Calibri"/>
      <family val="2"/>
    </font>
    <font>
      <sz val="11"/>
      <color theme="1"/>
      <name val="+mn-cs"/>
      <family val="2"/>
    </font>
    <font>
      <u val="single"/>
      <sz val="11"/>
      <color theme="1"/>
      <name val="+mn-cs"/>
      <family val="2"/>
    </font>
    <font>
      <b/>
      <sz val="11"/>
      <color theme="1"/>
      <name val="+mn-cs"/>
      <family val="2"/>
    </font>
    <font>
      <b/>
      <sz val="8"/>
      <name val="Calibri"/>
      <family val="2"/>
    </font>
  </fonts>
  <fills count="29">
    <fill>
      <patternFill/>
    </fill>
    <fill>
      <patternFill patternType="gray125"/>
    </fill>
    <fill>
      <patternFill patternType="solid">
        <fgColor theme="4" tint="0.7999799847602844"/>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1"/>
        <bgColor indexed="64"/>
      </patternFill>
    </fill>
    <fill>
      <patternFill patternType="solid">
        <fgColor theme="1" tint="0.04998999834060669"/>
        <bgColor indexed="64"/>
      </patternFill>
    </fill>
    <fill>
      <patternFill patternType="solid">
        <fgColor rgb="FFFFFF00"/>
        <bgColor indexed="64"/>
      </patternFill>
    </fill>
    <fill>
      <patternFill patternType="solid">
        <fgColor theme="2" tint="-0.24997000396251678"/>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rgb="FF92D050"/>
        <bgColor indexed="64"/>
      </patternFill>
    </fill>
    <fill>
      <patternFill patternType="solid">
        <fgColor theme="8" tint="0.5999900102615356"/>
        <bgColor indexed="64"/>
      </patternFill>
    </fill>
    <fill>
      <patternFill patternType="solid">
        <fgColor rgb="FF7030A0"/>
        <bgColor indexed="64"/>
      </patternFill>
    </fill>
    <fill>
      <patternFill patternType="solid">
        <fgColor rgb="FFC5ECFA"/>
        <bgColor indexed="64"/>
      </patternFill>
    </fill>
    <fill>
      <patternFill patternType="solid">
        <fgColor theme="0" tint="-0.04997999966144562"/>
        <bgColor indexed="64"/>
      </patternFill>
    </fill>
    <fill>
      <patternFill patternType="solid">
        <fgColor rgb="FF01FF8F"/>
        <bgColor indexed="64"/>
      </patternFill>
    </fill>
    <fill>
      <patternFill patternType="solid">
        <fgColor rgb="FFAAFFCC"/>
        <bgColor indexed="64"/>
      </patternFill>
    </fill>
    <fill>
      <patternFill patternType="solid">
        <fgColor rgb="FFFFDA9E"/>
        <bgColor indexed="64"/>
      </patternFill>
    </fill>
    <fill>
      <patternFill patternType="solid">
        <fgColor rgb="FFFEE5C8"/>
        <bgColor indexed="64"/>
      </patternFill>
    </fill>
    <fill>
      <patternFill patternType="solid">
        <fgColor rgb="FFFEFEFE"/>
        <bgColor indexed="64"/>
      </patternFill>
    </fill>
  </fills>
  <borders count="75">
    <border>
      <left/>
      <right/>
      <top/>
      <bottom/>
      <diagonal/>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border>
    <border>
      <left/>
      <right style="thin"/>
      <top/>
      <bottom/>
    </border>
    <border>
      <left style="thin"/>
      <right/>
      <top/>
      <bottom style="dotted"/>
    </border>
    <border>
      <left/>
      <right/>
      <top/>
      <bottom style="dotted"/>
    </border>
    <border>
      <left/>
      <right style="thin"/>
      <top/>
      <bottom style="dotted"/>
    </border>
    <border>
      <left style="thin"/>
      <right/>
      <top style="dotted"/>
      <bottom style="dotted"/>
    </border>
    <border>
      <left/>
      <right/>
      <top style="dotted"/>
      <bottom style="dotted"/>
    </border>
    <border>
      <left style="thin"/>
      <right style="thin"/>
      <top style="dotted"/>
      <bottom style="dotted"/>
    </border>
    <border>
      <left/>
      <right style="thin"/>
      <top style="dotted"/>
      <bottom style="dotted"/>
    </border>
    <border>
      <left style="thin"/>
      <right/>
      <top style="dotted"/>
      <bottom style="thin"/>
    </border>
    <border>
      <left/>
      <right/>
      <top style="dotted"/>
      <bottom style="thin"/>
    </border>
    <border>
      <left style="thin"/>
      <right/>
      <top style="thin"/>
      <bottom style="dotted"/>
    </border>
    <border>
      <left/>
      <right/>
      <top style="thin"/>
      <bottom style="dotted"/>
    </border>
    <border>
      <left/>
      <right style="thin"/>
      <top style="thin"/>
      <bottom style="dotted"/>
    </border>
    <border>
      <left style="thin"/>
      <right/>
      <top style="dotted"/>
      <bottom/>
    </border>
    <border>
      <left/>
      <right/>
      <top style="dotted"/>
      <bottom/>
    </border>
    <border>
      <left style="thin"/>
      <right style="thin"/>
      <top style="dotted"/>
      <bottom/>
    </border>
    <border>
      <left/>
      <right style="thin"/>
      <top style="dotted"/>
      <bottom/>
    </border>
    <border>
      <left/>
      <right/>
      <top style="medium">
        <color theme="9" tint="-0.24997000396251678"/>
      </top>
      <bottom/>
    </border>
    <border>
      <left/>
      <right style="medium">
        <color theme="9" tint="-0.24997000396251678"/>
      </right>
      <top style="medium">
        <color theme="9" tint="-0.24997000396251678"/>
      </top>
      <bottom/>
    </border>
    <border>
      <left style="thin"/>
      <right style="thin"/>
      <top/>
      <bottom/>
    </border>
    <border>
      <left style="medium">
        <color theme="9" tint="-0.24997000396251678"/>
      </left>
      <right/>
      <top/>
      <bottom/>
    </border>
    <border>
      <left/>
      <right/>
      <top/>
      <bottom style="thin">
        <color theme="0" tint="-0.4999699890613556"/>
      </bottom>
    </border>
    <border>
      <left style="medium">
        <color theme="9" tint="-0.24997000396251678"/>
      </left>
      <right style="thin">
        <color theme="0" tint="-0.4999699890613556"/>
      </right>
      <top/>
      <bottom style="medium">
        <color theme="9" tint="-0.24997000396251678"/>
      </bottom>
    </border>
    <border>
      <left style="thin">
        <color theme="0" tint="-0.4999699890613556"/>
      </left>
      <right style="thin">
        <color theme="0" tint="-0.4999699890613556"/>
      </right>
      <top/>
      <bottom style="medium">
        <color theme="9" tint="-0.24997000396251678"/>
      </bottom>
    </border>
    <border>
      <left style="medium">
        <color theme="4" tint="-0.24997000396251678"/>
      </left>
      <right/>
      <top style="medium">
        <color theme="4" tint="-0.24997000396251678"/>
      </top>
      <bottom/>
    </border>
    <border>
      <left/>
      <right/>
      <top style="medium">
        <color theme="4" tint="-0.24997000396251678"/>
      </top>
      <bottom/>
    </border>
    <border>
      <left/>
      <right style="medium">
        <color theme="4" tint="-0.24997000396251678"/>
      </right>
      <top style="medium">
        <color theme="4" tint="-0.24997000396251678"/>
      </top>
      <bottom/>
    </border>
    <border>
      <left style="medium">
        <color theme="4" tint="-0.24997000396251678"/>
      </left>
      <right/>
      <top/>
      <bottom/>
    </border>
    <border>
      <left/>
      <right style="thin">
        <color theme="0" tint="-0.4999699890613556"/>
      </right>
      <top/>
      <bottom/>
    </border>
    <border>
      <left/>
      <right style="medium">
        <color theme="4" tint="-0.24997000396251678"/>
      </right>
      <top/>
      <bottom style="thin">
        <color theme="0" tint="-0.4999699890613556"/>
      </bottom>
    </border>
    <border>
      <left style="medium">
        <color theme="4" tint="-0.24997000396251678"/>
      </left>
      <right/>
      <top/>
      <bottom style="medium">
        <color theme="4" tint="-0.24997000396251678"/>
      </bottom>
    </border>
    <border>
      <left/>
      <right style="thin">
        <color theme="0" tint="-0.4999699890613556"/>
      </right>
      <top/>
      <bottom style="medium">
        <color theme="4" tint="-0.24997000396251678"/>
      </bottom>
    </border>
    <border>
      <left/>
      <right style="thin">
        <color theme="4" tint="-0.24997000396251678"/>
      </right>
      <top/>
      <bottom/>
    </border>
    <border>
      <left style="thin">
        <color theme="4" tint="-0.24997000396251678"/>
      </left>
      <right style="medium">
        <color theme="4" tint="-0.24997000396251678"/>
      </right>
      <top/>
      <bottom/>
    </border>
    <border>
      <left style="thin">
        <color theme="4" tint="-0.24997000396251678"/>
      </left>
      <right style="medium">
        <color theme="4" tint="-0.24997000396251678"/>
      </right>
      <top style="thin">
        <color theme="0" tint="-0.4999699890613556"/>
      </top>
      <bottom style="thin">
        <color theme="0" tint="-0.4999699890613556"/>
      </bottom>
    </border>
    <border>
      <left style="medium">
        <color theme="9" tint="-0.24997000396251678"/>
      </left>
      <right/>
      <top style="medium">
        <color theme="9" tint="-0.24997000396251678"/>
      </top>
      <bottom/>
    </border>
    <border>
      <left/>
      <right style="medium">
        <color theme="9" tint="-0.24997000396251678"/>
      </right>
      <top/>
      <bottom/>
    </border>
    <border>
      <left style="thin"/>
      <right style="medium">
        <color theme="9" tint="-0.24997000396251678"/>
      </right>
      <top style="thin"/>
      <bottom style="thin"/>
    </border>
    <border>
      <left/>
      <right style="medium">
        <color theme="9" tint="-0.24997000396251678"/>
      </right>
      <top/>
      <bottom style="thin">
        <color theme="0" tint="-0.4999699890613556"/>
      </bottom>
    </border>
    <border>
      <left style="thin">
        <color theme="0" tint="-0.4999699890613556"/>
      </left>
      <right style="medium">
        <color theme="9" tint="-0.24997000396251678"/>
      </right>
      <top/>
      <bottom style="medium">
        <color theme="9" tint="-0.24997000396251678"/>
      </bottom>
    </border>
    <border>
      <left/>
      <right style="thin"/>
      <top style="dotted"/>
      <bottom style="thin"/>
    </border>
    <border>
      <left style="thin"/>
      <right style="thin"/>
      <top style="thin"/>
      <bottom style="dotted"/>
    </border>
    <border>
      <left style="thin"/>
      <right style="thin"/>
      <top/>
      <bottom style="dotted"/>
    </border>
    <border>
      <left style="medium">
        <color theme="9" tint="-0.24993999302387238"/>
      </left>
      <right style="medium">
        <color theme="9" tint="-0.24993999302387238"/>
      </right>
      <top/>
      <bottom/>
    </border>
    <border>
      <left style="medium">
        <color theme="9" tint="-0.24993999302387238"/>
      </left>
      <right style="medium">
        <color theme="9" tint="-0.24993999302387238"/>
      </right>
      <top/>
      <bottom style="medium">
        <color theme="9" tint="-0.24993999302387238"/>
      </bottom>
    </border>
    <border>
      <left style="medium">
        <color theme="9" tint="-0.24993999302387238"/>
      </left>
      <right style="medium">
        <color theme="9" tint="-0.24993999302387238"/>
      </right>
      <top style="medium">
        <color theme="9" tint="-0.24993999302387238"/>
      </top>
      <bottom style="medium">
        <color theme="9" tint="-0.24993999302387238"/>
      </bottom>
    </border>
    <border>
      <left style="medium">
        <color theme="5"/>
      </left>
      <right/>
      <top style="medium">
        <color theme="5"/>
      </top>
      <bottom/>
    </border>
    <border>
      <left/>
      <right/>
      <top style="medium">
        <color theme="5"/>
      </top>
      <bottom/>
    </border>
    <border>
      <left/>
      <right style="medium">
        <color theme="5"/>
      </right>
      <top style="medium">
        <color theme="5"/>
      </top>
      <bottom/>
    </border>
    <border>
      <left style="medium">
        <color theme="5"/>
      </left>
      <right/>
      <top/>
      <bottom/>
    </border>
    <border>
      <left/>
      <right style="medium">
        <color theme="5"/>
      </right>
      <top/>
      <bottom/>
    </border>
    <border>
      <left style="medium">
        <color theme="5"/>
      </left>
      <right/>
      <top/>
      <bottom style="medium">
        <color theme="5"/>
      </bottom>
    </border>
    <border>
      <left/>
      <right/>
      <top/>
      <bottom style="medium">
        <color theme="5"/>
      </bottom>
    </border>
    <border>
      <left/>
      <right style="medium">
        <color theme="5"/>
      </right>
      <top/>
      <bottom style="medium">
        <color theme="5"/>
      </bottom>
    </border>
    <border>
      <left/>
      <right style="medium">
        <color theme="9" tint="-0.24993999302387238"/>
      </right>
      <top/>
      <bottom/>
    </border>
    <border>
      <left style="medium">
        <color theme="9" tint="-0.24993999302387238"/>
      </left>
      <right style="medium">
        <color theme="9" tint="-0.24993999302387238"/>
      </right>
      <top style="medium">
        <color theme="9" tint="-0.24993999302387238"/>
      </top>
      <bottom/>
    </border>
    <border>
      <left style="thin"/>
      <right/>
      <top style="thin"/>
      <bottom/>
    </border>
    <border>
      <left/>
      <right/>
      <top style="thin"/>
      <bottom/>
    </border>
    <border>
      <left/>
      <right style="thin"/>
      <top style="thin"/>
      <bottom/>
    </border>
    <border>
      <left style="medium">
        <color theme="0" tint="-0.24997000396251678"/>
      </left>
      <right/>
      <top style="medium">
        <color theme="0" tint="-0.24997000396251678"/>
      </top>
      <bottom/>
    </border>
    <border>
      <left/>
      <right/>
      <top style="medium">
        <color theme="0" tint="-0.24997000396251678"/>
      </top>
      <bottom/>
    </border>
    <border>
      <left/>
      <right style="medium">
        <color theme="0" tint="-0.24997000396251678"/>
      </right>
      <top style="medium">
        <color theme="0" tint="-0.24997000396251678"/>
      </top>
      <bottom/>
    </border>
    <border>
      <left style="medium">
        <color theme="0" tint="-0.24997000396251678"/>
      </left>
      <right/>
      <top/>
      <bottom/>
    </border>
    <border>
      <left/>
      <right style="medium">
        <color theme="0" tint="-0.24997000396251678"/>
      </right>
      <top/>
      <bottom/>
    </border>
    <border>
      <left style="medium">
        <color theme="0" tint="-0.24997000396251678"/>
      </left>
      <right/>
      <top/>
      <bottom style="medium">
        <color theme="0" tint="-0.24997000396251678"/>
      </bottom>
    </border>
    <border>
      <left/>
      <right/>
      <top/>
      <bottom style="medium">
        <color theme="0" tint="-0.24997000396251678"/>
      </bottom>
    </border>
    <border>
      <left/>
      <right style="medium">
        <color theme="0" tint="-0.24997000396251678"/>
      </right>
      <top/>
      <bottom style="medium">
        <color theme="0" tint="-0.24997000396251678"/>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9" fontId="0" fillId="0" borderId="0" applyFont="0" applyFill="0" applyBorder="0" applyAlignment="0" applyProtection="0"/>
    <xf numFmtId="44" fontId="0" fillId="0" borderId="0" applyFont="0" applyFill="0" applyBorder="0" applyAlignment="0" applyProtection="0"/>
    <xf numFmtId="0" fontId="26" fillId="0" borderId="0" applyNumberFormat="0" applyFill="0" applyBorder="0" applyAlignment="0" applyProtection="0"/>
  </cellStyleXfs>
  <cellXfs count="476">
    <xf numFmtId="0" fontId="0" fillId="0" borderId="0" xfId="0"/>
    <xf numFmtId="0" fontId="0" fillId="2" borderId="0" xfId="0" applyFill="1"/>
    <xf numFmtId="0" fontId="0" fillId="3" borderId="0" xfId="0" applyFill="1"/>
    <xf numFmtId="0" fontId="3" fillId="4" borderId="0" xfId="0" applyFont="1" applyFill="1"/>
    <xf numFmtId="0" fontId="0" fillId="4" borderId="0" xfId="0" applyFill="1"/>
    <xf numFmtId="164" fontId="0" fillId="0" borderId="0" xfId="0" applyNumberFormat="1"/>
    <xf numFmtId="3" fontId="0" fillId="0" borderId="0" xfId="0" applyNumberFormat="1"/>
    <xf numFmtId="0" fontId="3" fillId="0" borderId="1" xfId="0" applyFont="1" applyBorder="1"/>
    <xf numFmtId="0" fontId="3" fillId="0" borderId="2" xfId="0" applyFont="1" applyBorder="1"/>
    <xf numFmtId="0" fontId="3" fillId="0" borderId="3" xfId="0" applyFont="1" applyBorder="1"/>
    <xf numFmtId="0" fontId="3" fillId="0" borderId="0" xfId="0" applyFont="1"/>
    <xf numFmtId="0" fontId="3" fillId="0" borderId="4" xfId="0" applyFont="1" applyBorder="1"/>
    <xf numFmtId="0" fontId="3" fillId="0" borderId="2" xfId="0" applyFont="1" applyBorder="1" applyAlignment="1">
      <alignment horizontal="right"/>
    </xf>
    <xf numFmtId="0" fontId="3" fillId="0" borderId="3" xfId="0" applyFont="1" applyBorder="1" applyAlignment="1">
      <alignment horizontal="right"/>
    </xf>
    <xf numFmtId="0" fontId="0" fillId="0" borderId="5" xfId="0" applyBorder="1"/>
    <xf numFmtId="0" fontId="0" fillId="0" borderId="6" xfId="0" applyBorder="1"/>
    <xf numFmtId="0" fontId="0" fillId="0" borderId="7" xfId="0" applyBorder="1"/>
    <xf numFmtId="0" fontId="0" fillId="0" borderId="8" xfId="0" applyBorder="1"/>
    <xf numFmtId="165" fontId="0" fillId="0" borderId="8" xfId="16" applyNumberFormat="1" applyFont="1" applyBorder="1"/>
    <xf numFmtId="2" fontId="0" fillId="0" borderId="8" xfId="0" applyNumberFormat="1" applyBorder="1"/>
    <xf numFmtId="1" fontId="0" fillId="0" borderId="8" xfId="0" applyNumberFormat="1" applyBorder="1"/>
    <xf numFmtId="9" fontId="0" fillId="0" borderId="9" xfId="0" applyNumberFormat="1" applyBorder="1"/>
    <xf numFmtId="9" fontId="0" fillId="0" borderId="0" xfId="0" applyNumberFormat="1"/>
    <xf numFmtId="165" fontId="0" fillId="0" borderId="8" xfId="0" applyNumberFormat="1" applyBorder="1"/>
    <xf numFmtId="0" fontId="0" fillId="0" borderId="10" xfId="0" applyBorder="1"/>
    <xf numFmtId="0" fontId="0" fillId="0" borderId="11" xfId="0" applyBorder="1"/>
    <xf numFmtId="165" fontId="0" fillId="0" borderId="11" xfId="16" applyNumberFormat="1" applyFont="1" applyBorder="1"/>
    <xf numFmtId="2" fontId="0" fillId="0" borderId="11" xfId="0" applyNumberFormat="1" applyBorder="1"/>
    <xf numFmtId="0" fontId="0" fillId="0" borderId="12" xfId="0" applyBorder="1"/>
    <xf numFmtId="9" fontId="0" fillId="0" borderId="11" xfId="0" applyNumberFormat="1" applyBorder="1"/>
    <xf numFmtId="0" fontId="0" fillId="0" borderId="13" xfId="0" applyBorder="1"/>
    <xf numFmtId="1" fontId="0" fillId="0" borderId="11" xfId="0" applyNumberFormat="1" applyBorder="1"/>
    <xf numFmtId="165" fontId="0" fillId="0" borderId="12" xfId="0" applyNumberFormat="1" applyBorder="1"/>
    <xf numFmtId="165" fontId="0" fillId="0" borderId="11" xfId="0" applyNumberFormat="1" applyBorder="1"/>
    <xf numFmtId="165" fontId="0" fillId="0" borderId="11" xfId="16" applyNumberFormat="1" applyFont="1" applyFill="1" applyBorder="1"/>
    <xf numFmtId="0" fontId="0" fillId="0" borderId="14" xfId="0" applyBorder="1"/>
    <xf numFmtId="0" fontId="0" fillId="0" borderId="15" xfId="0" applyBorder="1"/>
    <xf numFmtId="165" fontId="0" fillId="0" borderId="15" xfId="16" applyNumberFormat="1" applyFont="1" applyBorder="1"/>
    <xf numFmtId="2" fontId="0" fillId="0" borderId="15" xfId="0" applyNumberFormat="1" applyBorder="1"/>
    <xf numFmtId="1" fontId="0" fillId="0" borderId="15" xfId="0" applyNumberFormat="1" applyBorder="1"/>
    <xf numFmtId="165" fontId="0" fillId="0" borderId="15" xfId="0" applyNumberFormat="1" applyBorder="1"/>
    <xf numFmtId="0" fontId="3" fillId="4" borderId="1" xfId="0" applyFont="1" applyFill="1" applyBorder="1"/>
    <xf numFmtId="0" fontId="3" fillId="4" borderId="2" xfId="0" applyFont="1" applyFill="1" applyBorder="1"/>
    <xf numFmtId="165" fontId="3" fillId="4" borderId="2" xfId="16" applyNumberFormat="1" applyFont="1" applyFill="1" applyBorder="1"/>
    <xf numFmtId="2" fontId="3" fillId="4" borderId="2" xfId="0" applyNumberFormat="1" applyFont="1" applyFill="1" applyBorder="1"/>
    <xf numFmtId="1" fontId="3" fillId="4" borderId="2" xfId="0" applyNumberFormat="1" applyFont="1" applyFill="1" applyBorder="1"/>
    <xf numFmtId="0" fontId="3" fillId="4" borderId="3" xfId="0" applyFont="1" applyFill="1" applyBorder="1"/>
    <xf numFmtId="165" fontId="3" fillId="4" borderId="2" xfId="0" applyNumberFormat="1" applyFont="1" applyFill="1" applyBorder="1"/>
    <xf numFmtId="165" fontId="3" fillId="4" borderId="3" xfId="0" applyNumberFormat="1" applyFont="1" applyFill="1" applyBorder="1"/>
    <xf numFmtId="0" fontId="0" fillId="3" borderId="16" xfId="0" applyFill="1" applyBorder="1"/>
    <xf numFmtId="0" fontId="0" fillId="3" borderId="17" xfId="0" applyFill="1" applyBorder="1"/>
    <xf numFmtId="165" fontId="0" fillId="3" borderId="17" xfId="16" applyNumberFormat="1" applyFont="1" applyFill="1" applyBorder="1"/>
    <xf numFmtId="2" fontId="0" fillId="3" borderId="17" xfId="0" applyNumberFormat="1" applyFill="1" applyBorder="1"/>
    <xf numFmtId="1" fontId="0" fillId="3" borderId="17" xfId="0" applyNumberFormat="1" applyFill="1" applyBorder="1"/>
    <xf numFmtId="0" fontId="0" fillId="3" borderId="18" xfId="0" applyFill="1" applyBorder="1"/>
    <xf numFmtId="165" fontId="0" fillId="3" borderId="17" xfId="0" applyNumberFormat="1" applyFill="1" applyBorder="1"/>
    <xf numFmtId="165" fontId="0" fillId="3" borderId="18" xfId="0" applyNumberFormat="1" applyFill="1" applyBorder="1"/>
    <xf numFmtId="0" fontId="0" fillId="3" borderId="10" xfId="0" applyFill="1" applyBorder="1"/>
    <xf numFmtId="0" fontId="0" fillId="3" borderId="11" xfId="0" applyFill="1" applyBorder="1"/>
    <xf numFmtId="165" fontId="0" fillId="3" borderId="11" xfId="16" applyNumberFormat="1" applyFont="1" applyFill="1" applyBorder="1"/>
    <xf numFmtId="2" fontId="0" fillId="3" borderId="11" xfId="0" applyNumberFormat="1" applyFill="1" applyBorder="1"/>
    <xf numFmtId="1" fontId="0" fillId="3" borderId="11" xfId="0" applyNumberFormat="1" applyFill="1" applyBorder="1"/>
    <xf numFmtId="0" fontId="0" fillId="3" borderId="13" xfId="0" applyFill="1" applyBorder="1"/>
    <xf numFmtId="165" fontId="0" fillId="3" borderId="12" xfId="0" applyNumberFormat="1" applyFill="1" applyBorder="1"/>
    <xf numFmtId="165" fontId="0" fillId="3" borderId="11" xfId="0" applyNumberFormat="1" applyFill="1" applyBorder="1"/>
    <xf numFmtId="165" fontId="0" fillId="3" borderId="13" xfId="0" applyNumberFormat="1" applyFill="1" applyBorder="1"/>
    <xf numFmtId="0" fontId="0" fillId="0" borderId="19" xfId="0" applyBorder="1"/>
    <xf numFmtId="0" fontId="0" fillId="0" borderId="20" xfId="0" applyBorder="1"/>
    <xf numFmtId="165" fontId="0" fillId="0" borderId="20" xfId="16" applyNumberFormat="1" applyFont="1" applyBorder="1"/>
    <xf numFmtId="2" fontId="0" fillId="0" borderId="20" xfId="0" applyNumberFormat="1" applyBorder="1"/>
    <xf numFmtId="165" fontId="0" fillId="0" borderId="21" xfId="0" applyNumberFormat="1" applyBorder="1"/>
    <xf numFmtId="165" fontId="0" fillId="0" borderId="20" xfId="0" applyNumberFormat="1" applyBorder="1"/>
    <xf numFmtId="0" fontId="3" fillId="0" borderId="5" xfId="0" applyFont="1" applyBorder="1"/>
    <xf numFmtId="0" fontId="3" fillId="0" borderId="6" xfId="0" applyFont="1" applyBorder="1"/>
    <xf numFmtId="165" fontId="3" fillId="0" borderId="0" xfId="0" applyNumberFormat="1" applyFont="1"/>
    <xf numFmtId="0" fontId="0" fillId="3" borderId="5" xfId="0" applyFill="1" applyBorder="1"/>
    <xf numFmtId="0" fontId="0" fillId="3" borderId="6" xfId="0" applyFill="1" applyBorder="1"/>
    <xf numFmtId="165" fontId="0" fillId="0" borderId="0" xfId="0" applyNumberFormat="1"/>
    <xf numFmtId="44" fontId="0" fillId="0" borderId="0" xfId="0" applyNumberFormat="1"/>
    <xf numFmtId="0" fontId="0" fillId="0" borderId="9" xfId="0" applyBorder="1"/>
    <xf numFmtId="0" fontId="0" fillId="0" borderId="22" xfId="0" applyBorder="1"/>
    <xf numFmtId="0" fontId="0" fillId="5" borderId="4" xfId="0" applyFill="1" applyBorder="1"/>
    <xf numFmtId="0" fontId="0" fillId="0" borderId="4" xfId="0" applyBorder="1"/>
    <xf numFmtId="0" fontId="6" fillId="6" borderId="23" xfId="0" applyFont="1" applyFill="1" applyBorder="1"/>
    <xf numFmtId="0" fontId="6" fillId="6" borderId="24" xfId="0" applyFont="1" applyFill="1" applyBorder="1"/>
    <xf numFmtId="0" fontId="0" fillId="0" borderId="25" xfId="0" applyBorder="1"/>
    <xf numFmtId="0" fontId="7" fillId="4" borderId="26" xfId="0" applyFont="1" applyFill="1" applyBorder="1"/>
    <xf numFmtId="0" fontId="7" fillId="4" borderId="0" xfId="0" applyFont="1" applyFill="1"/>
    <xf numFmtId="0" fontId="7" fillId="7" borderId="26" xfId="0" applyFont="1" applyFill="1" applyBorder="1"/>
    <xf numFmtId="1" fontId="3" fillId="0" borderId="0" xfId="0" applyNumberFormat="1" applyFont="1"/>
    <xf numFmtId="0" fontId="7" fillId="4" borderId="27" xfId="0" applyFont="1" applyFill="1" applyBorder="1"/>
    <xf numFmtId="0" fontId="7" fillId="7" borderId="28" xfId="0" applyFont="1" applyFill="1" applyBorder="1"/>
    <xf numFmtId="165" fontId="7" fillId="5" borderId="29" xfId="0" applyNumberFormat="1" applyFont="1" applyFill="1" applyBorder="1" applyProtection="1">
      <protection locked="0"/>
    </xf>
    <xf numFmtId="0" fontId="6" fillId="8" borderId="30" xfId="0" applyFont="1" applyFill="1" applyBorder="1"/>
    <xf numFmtId="0" fontId="6" fillId="8" borderId="31" xfId="0" applyFont="1" applyFill="1" applyBorder="1"/>
    <xf numFmtId="0" fontId="6" fillId="8" borderId="32" xfId="0" applyFont="1" applyFill="1" applyBorder="1"/>
    <xf numFmtId="0" fontId="7" fillId="7" borderId="33" xfId="0" applyFont="1" applyFill="1" applyBorder="1"/>
    <xf numFmtId="0" fontId="7" fillId="7" borderId="34" xfId="0" applyFont="1" applyFill="1" applyBorder="1"/>
    <xf numFmtId="10" fontId="7" fillId="5" borderId="35" xfId="0" applyNumberFormat="1" applyFont="1" applyFill="1" applyBorder="1" applyProtection="1">
      <protection locked="0"/>
    </xf>
    <xf numFmtId="0" fontId="7" fillId="7" borderId="36" xfId="0" applyFont="1" applyFill="1" applyBorder="1"/>
    <xf numFmtId="0" fontId="7" fillId="7" borderId="37" xfId="0" applyFont="1" applyFill="1" applyBorder="1"/>
    <xf numFmtId="0" fontId="6" fillId="8" borderId="33" xfId="0" applyFont="1" applyFill="1" applyBorder="1"/>
    <xf numFmtId="0" fontId="6" fillId="8" borderId="38" xfId="0" applyFont="1" applyFill="1" applyBorder="1"/>
    <xf numFmtId="9" fontId="6" fillId="8" borderId="39" xfId="0" applyNumberFormat="1" applyFont="1" applyFill="1" applyBorder="1"/>
    <xf numFmtId="166" fontId="7" fillId="5" borderId="40" xfId="0" applyNumberFormat="1" applyFont="1" applyFill="1" applyBorder="1" applyProtection="1">
      <protection locked="0"/>
    </xf>
    <xf numFmtId="0" fontId="7" fillId="7" borderId="0" xfId="0" applyFont="1" applyFill="1"/>
    <xf numFmtId="10" fontId="0" fillId="0" borderId="0" xfId="0" applyNumberFormat="1"/>
    <xf numFmtId="1" fontId="0" fillId="0" borderId="0" xfId="0" applyNumberFormat="1"/>
    <xf numFmtId="0" fontId="0" fillId="9" borderId="4" xfId="0" applyFill="1" applyBorder="1"/>
    <xf numFmtId="0" fontId="0" fillId="10" borderId="4" xfId="0" applyFill="1" applyBorder="1"/>
    <xf numFmtId="0" fontId="0" fillId="3" borderId="4" xfId="0" applyFill="1" applyBorder="1"/>
    <xf numFmtId="0" fontId="3" fillId="3" borderId="4" xfId="0" applyFont="1" applyFill="1" applyBorder="1"/>
    <xf numFmtId="0" fontId="2" fillId="9" borderId="4" xfId="0" applyFont="1" applyFill="1" applyBorder="1"/>
    <xf numFmtId="2" fontId="0" fillId="3" borderId="4" xfId="0" applyNumberFormat="1" applyFill="1" applyBorder="1"/>
    <xf numFmtId="2" fontId="0" fillId="9" borderId="4" xfId="0" applyNumberFormat="1" applyFill="1" applyBorder="1"/>
    <xf numFmtId="167" fontId="3" fillId="3" borderId="4" xfId="0" applyNumberFormat="1" applyFont="1" applyFill="1" applyBorder="1"/>
    <xf numFmtId="1" fontId="9" fillId="0" borderId="8" xfId="0" applyNumberFormat="1" applyFont="1" applyBorder="1"/>
    <xf numFmtId="0" fontId="0" fillId="11" borderId="0" xfId="0" applyFill="1"/>
    <xf numFmtId="0" fontId="2" fillId="0" borderId="0" xfId="0" applyFont="1"/>
    <xf numFmtId="0" fontId="0" fillId="2" borderId="4" xfId="0" applyFill="1" applyBorder="1"/>
    <xf numFmtId="1" fontId="0" fillId="0" borderId="4" xfId="0" applyNumberFormat="1" applyBorder="1"/>
    <xf numFmtId="1" fontId="0" fillId="2" borderId="4" xfId="0" applyNumberFormat="1" applyFill="1" applyBorder="1"/>
    <xf numFmtId="1" fontId="0" fillId="9" borderId="4" xfId="0" applyNumberFormat="1" applyFill="1" applyBorder="1"/>
    <xf numFmtId="2" fontId="0" fillId="0" borderId="0" xfId="0" applyNumberFormat="1"/>
    <xf numFmtId="0" fontId="0" fillId="0" borderId="4" xfId="0" applyBorder="1" applyAlignment="1">
      <alignment wrapText="1"/>
    </xf>
    <xf numFmtId="9" fontId="9" fillId="0" borderId="0" xfId="0" applyNumberFormat="1" applyFont="1"/>
    <xf numFmtId="0" fontId="10" fillId="0" borderId="0" xfId="0" applyFont="1"/>
    <xf numFmtId="0" fontId="6" fillId="6" borderId="41" xfId="0" applyFont="1" applyFill="1" applyBorder="1" applyAlignment="1">
      <alignment wrapText="1"/>
    </xf>
    <xf numFmtId="0" fontId="7" fillId="0" borderId="0" xfId="0" applyFont="1"/>
    <xf numFmtId="0" fontId="8" fillId="0" borderId="0" xfId="0" applyFont="1"/>
    <xf numFmtId="165" fontId="8" fillId="0" borderId="0" xfId="0" applyNumberFormat="1" applyFont="1"/>
    <xf numFmtId="0" fontId="6" fillId="0" borderId="0" xfId="0" applyFont="1" applyAlignment="1">
      <alignment wrapText="1"/>
    </xf>
    <xf numFmtId="0" fontId="6" fillId="0" borderId="0" xfId="0" applyFont="1"/>
    <xf numFmtId="165" fontId="7" fillId="0" borderId="0" xfId="0" applyNumberFormat="1" applyFont="1" applyProtection="1">
      <protection locked="0"/>
    </xf>
    <xf numFmtId="165" fontId="7" fillId="5" borderId="0" xfId="0" applyNumberFormat="1" applyFont="1" applyFill="1" applyProtection="1">
      <protection locked="0"/>
    </xf>
    <xf numFmtId="0" fontId="7" fillId="4" borderId="42" xfId="0" applyFont="1" applyFill="1" applyBorder="1"/>
    <xf numFmtId="165" fontId="7" fillId="5" borderId="43" xfId="0" applyNumberFormat="1" applyFont="1" applyFill="1" applyBorder="1" applyProtection="1">
      <protection locked="0"/>
    </xf>
    <xf numFmtId="0" fontId="7" fillId="4" borderId="44" xfId="0" applyFont="1" applyFill="1" applyBorder="1"/>
    <xf numFmtId="165" fontId="7" fillId="5" borderId="45" xfId="0" applyNumberFormat="1" applyFont="1" applyFill="1" applyBorder="1" applyProtection="1">
      <protection locked="0"/>
    </xf>
    <xf numFmtId="0" fontId="3" fillId="9" borderId="4" xfId="0" applyFont="1" applyFill="1" applyBorder="1"/>
    <xf numFmtId="0" fontId="11" fillId="9" borderId="4" xfId="0" applyFont="1" applyFill="1" applyBorder="1"/>
    <xf numFmtId="0" fontId="3" fillId="2" borderId="4" xfId="0" applyFont="1" applyFill="1" applyBorder="1"/>
    <xf numFmtId="6" fontId="3" fillId="0" borderId="0" xfId="0" applyNumberFormat="1" applyFont="1"/>
    <xf numFmtId="0" fontId="0" fillId="0" borderId="16" xfId="0" applyBorder="1"/>
    <xf numFmtId="0" fontId="0" fillId="0" borderId="17" xfId="0" applyBorder="1"/>
    <xf numFmtId="0" fontId="0" fillId="0" borderId="18" xfId="0" applyBorder="1"/>
    <xf numFmtId="0" fontId="0" fillId="0" borderId="0" xfId="0" applyAlignment="1">
      <alignment wrapText="1"/>
    </xf>
    <xf numFmtId="0" fontId="0" fillId="0" borderId="0" xfId="0"/>
    <xf numFmtId="0" fontId="0" fillId="0" borderId="0" xfId="0" applyAlignment="1">
      <alignment horizontal="left"/>
    </xf>
    <xf numFmtId="0" fontId="3" fillId="2" borderId="0" xfId="0" applyFont="1" applyFill="1"/>
    <xf numFmtId="1" fontId="0" fillId="2" borderId="0" xfId="0" applyNumberFormat="1" applyFill="1"/>
    <xf numFmtId="165" fontId="0" fillId="0" borderId="9" xfId="0" applyNumberFormat="1" applyBorder="1"/>
    <xf numFmtId="165" fontId="0" fillId="0" borderId="13" xfId="0" applyNumberFormat="1" applyBorder="1"/>
    <xf numFmtId="165" fontId="0" fillId="0" borderId="46" xfId="0" applyNumberFormat="1" applyBorder="1"/>
    <xf numFmtId="165" fontId="0" fillId="0" borderId="22" xfId="0" applyNumberFormat="1" applyBorder="1"/>
    <xf numFmtId="165" fontId="3" fillId="0" borderId="6" xfId="0" applyNumberFormat="1" applyFont="1" applyBorder="1"/>
    <xf numFmtId="6" fontId="3" fillId="4" borderId="3" xfId="0" applyNumberFormat="1" applyFont="1" applyFill="1" applyBorder="1"/>
    <xf numFmtId="6" fontId="0" fillId="0" borderId="9" xfId="0" applyNumberFormat="1" applyBorder="1"/>
    <xf numFmtId="6" fontId="0" fillId="0" borderId="13" xfId="0" applyNumberFormat="1" applyBorder="1"/>
    <xf numFmtId="6" fontId="0" fillId="0" borderId="22" xfId="0" applyNumberFormat="1" applyBorder="1"/>
    <xf numFmtId="0" fontId="0" fillId="0" borderId="47" xfId="0" applyBorder="1"/>
    <xf numFmtId="0" fontId="0" fillId="4" borderId="12" xfId="0" applyFill="1" applyBorder="1"/>
    <xf numFmtId="165" fontId="0" fillId="3" borderId="48" xfId="0" applyNumberFormat="1" applyFill="1" applyBorder="1"/>
    <xf numFmtId="165" fontId="0" fillId="4" borderId="4" xfId="0" applyNumberFormat="1" applyFill="1" applyBorder="1"/>
    <xf numFmtId="0" fontId="0" fillId="0" borderId="48" xfId="0" applyBorder="1"/>
    <xf numFmtId="0" fontId="9" fillId="0" borderId="0" xfId="0" applyFont="1"/>
    <xf numFmtId="1" fontId="15" fillId="0" borderId="8" xfId="0" applyNumberFormat="1" applyFont="1" applyBorder="1"/>
    <xf numFmtId="0" fontId="19" fillId="2" borderId="0" xfId="0" applyFont="1" applyFill="1"/>
    <xf numFmtId="44" fontId="0" fillId="0" borderId="12" xfId="0" applyNumberFormat="1" applyBorder="1"/>
    <xf numFmtId="2" fontId="3" fillId="3" borderId="4" xfId="0" applyNumberFormat="1" applyFont="1" applyFill="1" applyBorder="1"/>
    <xf numFmtId="2" fontId="0" fillId="11" borderId="4" xfId="0" applyNumberFormat="1" applyFill="1" applyBorder="1"/>
    <xf numFmtId="164" fontId="2" fillId="11" borderId="0" xfId="0" applyNumberFormat="1" applyFont="1" applyFill="1"/>
    <xf numFmtId="164" fontId="0" fillId="11" borderId="0" xfId="0" applyNumberFormat="1"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2" fontId="0" fillId="16" borderId="0" xfId="0" applyNumberFormat="1" applyFill="1"/>
    <xf numFmtId="165" fontId="7" fillId="0" borderId="49" xfId="16" applyNumberFormat="1" applyFont="1" applyFill="1" applyBorder="1"/>
    <xf numFmtId="165" fontId="7" fillId="0" borderId="49" xfId="0" applyNumberFormat="1" applyFont="1" applyBorder="1" applyProtection="1">
      <protection locked="0"/>
    </xf>
    <xf numFmtId="165" fontId="7" fillId="0" borderId="50" xfId="0" applyNumberFormat="1" applyFont="1" applyBorder="1" applyProtection="1">
      <protection locked="0"/>
    </xf>
    <xf numFmtId="0" fontId="7" fillId="16" borderId="51" xfId="0" applyFont="1" applyFill="1" applyBorder="1" applyAlignment="1">
      <alignment wrapText="1"/>
    </xf>
    <xf numFmtId="0" fontId="20" fillId="0" borderId="0" xfId="0" applyFont="1"/>
    <xf numFmtId="9" fontId="7" fillId="0" borderId="49" xfId="21" applyFont="1" applyFill="1" applyBorder="1" applyProtection="1">
      <protection locked="0"/>
    </xf>
    <xf numFmtId="9" fontId="7" fillId="0" borderId="50" xfId="21" applyFont="1" applyFill="1" applyBorder="1" applyProtection="1">
      <protection locked="0"/>
    </xf>
    <xf numFmtId="0" fontId="22" fillId="9" borderId="0" xfId="0" applyFont="1" applyFill="1"/>
    <xf numFmtId="0" fontId="21" fillId="9" borderId="0" xfId="0" applyFont="1" applyFill="1"/>
    <xf numFmtId="0" fontId="3" fillId="14" borderId="0" xfId="0" applyFont="1" applyFill="1"/>
    <xf numFmtId="0" fontId="0" fillId="17" borderId="10" xfId="0" applyFill="1" applyBorder="1"/>
    <xf numFmtId="0" fontId="0" fillId="17" borderId="11" xfId="0" applyFill="1" applyBorder="1"/>
    <xf numFmtId="166" fontId="0" fillId="17" borderId="11" xfId="16" applyNumberFormat="1" applyFont="1" applyFill="1" applyBorder="1"/>
    <xf numFmtId="2" fontId="0" fillId="17" borderId="11" xfId="0" applyNumberFormat="1" applyFill="1" applyBorder="1"/>
    <xf numFmtId="1" fontId="15" fillId="17" borderId="8" xfId="0" applyNumberFormat="1" applyFont="1" applyFill="1" applyBorder="1"/>
    <xf numFmtId="9" fontId="0" fillId="17" borderId="9" xfId="0" applyNumberFormat="1" applyFill="1" applyBorder="1"/>
    <xf numFmtId="9" fontId="9" fillId="17" borderId="0" xfId="0" applyNumberFormat="1" applyFont="1" applyFill="1"/>
    <xf numFmtId="165" fontId="0" fillId="17" borderId="12" xfId="0" applyNumberFormat="1" applyFill="1" applyBorder="1"/>
    <xf numFmtId="165" fontId="0" fillId="17" borderId="9" xfId="0" applyNumberFormat="1" applyFill="1" applyBorder="1"/>
    <xf numFmtId="165" fontId="0" fillId="17" borderId="8" xfId="0" applyNumberFormat="1" applyFill="1" applyBorder="1"/>
    <xf numFmtId="1" fontId="0" fillId="17" borderId="12" xfId="0" applyNumberFormat="1" applyFill="1" applyBorder="1"/>
    <xf numFmtId="1" fontId="0" fillId="17" borderId="9" xfId="0" applyNumberFormat="1" applyFill="1" applyBorder="1"/>
    <xf numFmtId="9" fontId="0" fillId="17" borderId="0" xfId="0" applyNumberFormat="1" applyFill="1"/>
    <xf numFmtId="9" fontId="0" fillId="17" borderId="11" xfId="0" applyNumberFormat="1" applyFill="1" applyBorder="1"/>
    <xf numFmtId="0" fontId="0" fillId="17" borderId="0" xfId="0" applyFill="1"/>
    <xf numFmtId="165" fontId="0" fillId="17" borderId="11" xfId="16" applyNumberFormat="1" applyFont="1" applyFill="1" applyBorder="1"/>
    <xf numFmtId="1" fontId="0" fillId="17" borderId="11" xfId="0" applyNumberFormat="1" applyFill="1" applyBorder="1"/>
    <xf numFmtId="165" fontId="0" fillId="17" borderId="13" xfId="0" applyNumberFormat="1" applyFill="1" applyBorder="1"/>
    <xf numFmtId="165" fontId="0" fillId="17" borderId="11" xfId="0" applyNumberFormat="1" applyFill="1" applyBorder="1"/>
    <xf numFmtId="1" fontId="15" fillId="15" borderId="8" xfId="0" applyNumberFormat="1" applyFont="1" applyFill="1" applyBorder="1"/>
    <xf numFmtId="9" fontId="0" fillId="15" borderId="9" xfId="0" applyNumberFormat="1" applyFill="1" applyBorder="1"/>
    <xf numFmtId="165" fontId="0" fillId="15" borderId="12" xfId="0" applyNumberFormat="1" applyFill="1" applyBorder="1"/>
    <xf numFmtId="165" fontId="0" fillId="15" borderId="9" xfId="0" applyNumberFormat="1" applyFill="1" applyBorder="1"/>
    <xf numFmtId="165" fontId="0" fillId="15" borderId="8" xfId="0" applyNumberFormat="1" applyFill="1" applyBorder="1"/>
    <xf numFmtId="0" fontId="0" fillId="15" borderId="10" xfId="0" applyFill="1" applyBorder="1"/>
    <xf numFmtId="0" fontId="0" fillId="15" borderId="11" xfId="0" applyFill="1" applyBorder="1"/>
    <xf numFmtId="166" fontId="0" fillId="15" borderId="11" xfId="16" applyNumberFormat="1" applyFont="1" applyFill="1" applyBorder="1"/>
    <xf numFmtId="2" fontId="0" fillId="15" borderId="11" xfId="0" applyNumberFormat="1" applyFill="1" applyBorder="1"/>
    <xf numFmtId="9" fontId="9" fillId="15" borderId="0" xfId="0" applyNumberFormat="1" applyFont="1" applyFill="1"/>
    <xf numFmtId="0" fontId="0" fillId="14" borderId="10" xfId="0" applyFill="1" applyBorder="1"/>
    <xf numFmtId="0" fontId="0" fillId="14" borderId="11" xfId="0" applyFill="1" applyBorder="1"/>
    <xf numFmtId="2" fontId="0" fillId="14" borderId="11" xfId="0" applyNumberFormat="1" applyFill="1" applyBorder="1"/>
    <xf numFmtId="1" fontId="0" fillId="14" borderId="11" xfId="0" applyNumberFormat="1" applyFill="1" applyBorder="1"/>
    <xf numFmtId="9" fontId="0" fillId="14" borderId="9" xfId="0" applyNumberFormat="1" applyFill="1" applyBorder="1"/>
    <xf numFmtId="9" fontId="0" fillId="14" borderId="0" xfId="0" applyNumberFormat="1" applyFill="1"/>
    <xf numFmtId="165" fontId="0" fillId="14" borderId="12" xfId="0" applyNumberFormat="1" applyFill="1" applyBorder="1"/>
    <xf numFmtId="165" fontId="0" fillId="14" borderId="13" xfId="0" applyNumberFormat="1" applyFill="1" applyBorder="1"/>
    <xf numFmtId="165" fontId="0" fillId="14" borderId="11" xfId="0" applyNumberFormat="1" applyFill="1" applyBorder="1"/>
    <xf numFmtId="2" fontId="23" fillId="14" borderId="11" xfId="0" applyNumberFormat="1" applyFont="1" applyFill="1" applyBorder="1"/>
    <xf numFmtId="44" fontId="0" fillId="14" borderId="11" xfId="16" applyFont="1" applyFill="1" applyBorder="1"/>
    <xf numFmtId="0" fontId="9" fillId="0" borderId="10" xfId="0" applyFont="1" applyBorder="1"/>
    <xf numFmtId="9" fontId="0" fillId="2" borderId="0" xfId="0" applyNumberFormat="1" applyFill="1"/>
    <xf numFmtId="2" fontId="0" fillId="2" borderId="0" xfId="0" applyNumberFormat="1" applyFill="1"/>
    <xf numFmtId="44" fontId="0" fillId="15" borderId="12" xfId="0" applyNumberFormat="1" applyFill="1" applyBorder="1"/>
    <xf numFmtId="168" fontId="0" fillId="3" borderId="48" xfId="0" applyNumberFormat="1" applyFill="1" applyBorder="1"/>
    <xf numFmtId="169" fontId="0" fillId="3" borderId="48" xfId="0" applyNumberFormat="1" applyFill="1" applyBorder="1"/>
    <xf numFmtId="165" fontId="0" fillId="3" borderId="48" xfId="16" applyNumberFormat="1" applyFont="1" applyFill="1" applyBorder="1"/>
    <xf numFmtId="1" fontId="0" fillId="3" borderId="8" xfId="0" applyNumberFormat="1" applyFill="1" applyBorder="1"/>
    <xf numFmtId="9" fontId="0" fillId="3" borderId="9" xfId="0" applyNumberFormat="1" applyFill="1" applyBorder="1"/>
    <xf numFmtId="9" fontId="0" fillId="3" borderId="0" xfId="0" applyNumberFormat="1" applyFill="1"/>
    <xf numFmtId="165" fontId="0" fillId="4" borderId="48" xfId="16" applyNumberFormat="1" applyFont="1" applyFill="1" applyBorder="1"/>
    <xf numFmtId="0" fontId="0" fillId="7" borderId="0" xfId="0" applyFill="1"/>
    <xf numFmtId="0" fontId="3" fillId="7" borderId="0" xfId="0" applyFont="1" applyFill="1"/>
    <xf numFmtId="0" fontId="0" fillId="18" borderId="10" xfId="0" applyFill="1" applyBorder="1"/>
    <xf numFmtId="0" fontId="0" fillId="18" borderId="11" xfId="0" applyFill="1" applyBorder="1"/>
    <xf numFmtId="165" fontId="0" fillId="18" borderId="11" xfId="16" applyNumberFormat="1" applyFont="1" applyFill="1" applyBorder="1"/>
    <xf numFmtId="2" fontId="0" fillId="18" borderId="11" xfId="0" applyNumberFormat="1" applyFill="1" applyBorder="1"/>
    <xf numFmtId="1" fontId="0" fillId="18" borderId="11" xfId="0" applyNumberFormat="1" applyFill="1" applyBorder="1"/>
    <xf numFmtId="9" fontId="0" fillId="18" borderId="9" xfId="0" applyNumberFormat="1" applyFill="1" applyBorder="1"/>
    <xf numFmtId="9" fontId="0" fillId="18" borderId="0" xfId="0" applyNumberFormat="1" applyFill="1"/>
    <xf numFmtId="165" fontId="0" fillId="18" borderId="12" xfId="0" applyNumberFormat="1" applyFill="1" applyBorder="1"/>
    <xf numFmtId="165" fontId="0" fillId="18" borderId="13" xfId="0" applyNumberFormat="1" applyFill="1" applyBorder="1"/>
    <xf numFmtId="165" fontId="0" fillId="18" borderId="11" xfId="0" applyNumberFormat="1" applyFill="1" applyBorder="1"/>
    <xf numFmtId="1" fontId="23" fillId="18" borderId="11" xfId="0" applyNumberFormat="1" applyFont="1" applyFill="1" applyBorder="1"/>
    <xf numFmtId="44" fontId="0" fillId="11" borderId="11" xfId="16" applyFont="1" applyFill="1" applyBorder="1"/>
    <xf numFmtId="169" fontId="0" fillId="17" borderId="11" xfId="16" applyNumberFormat="1" applyFont="1" applyFill="1" applyBorder="1"/>
    <xf numFmtId="165" fontId="2" fillId="14" borderId="11" xfId="16" applyNumberFormat="1" applyFont="1" applyFill="1" applyBorder="1"/>
    <xf numFmtId="0" fontId="0" fillId="0" borderId="0" xfId="0" applyAlignment="1">
      <alignment horizontal="center"/>
    </xf>
    <xf numFmtId="171" fontId="0" fillId="18" borderId="12" xfId="0" applyNumberFormat="1" applyFill="1" applyBorder="1"/>
    <xf numFmtId="0" fontId="25" fillId="14" borderId="0" xfId="0" applyFont="1" applyFill="1" applyAlignment="1">
      <alignment vertical="center" wrapText="1"/>
    </xf>
    <xf numFmtId="1" fontId="0" fillId="14" borderId="0" xfId="0" applyNumberFormat="1" applyFill="1"/>
    <xf numFmtId="166" fontId="0" fillId="0" borderId="0" xfId="21" applyNumberFormat="1" applyFont="1"/>
    <xf numFmtId="0" fontId="26" fillId="0" borderId="0" xfId="23"/>
    <xf numFmtId="0" fontId="0" fillId="19" borderId="0" xfId="0" applyFill="1"/>
    <xf numFmtId="2" fontId="0" fillId="0" borderId="0" xfId="21" applyNumberFormat="1" applyFont="1"/>
    <xf numFmtId="167" fontId="0" fillId="0" borderId="0" xfId="21" applyNumberFormat="1" applyFont="1"/>
    <xf numFmtId="172" fontId="0" fillId="0" borderId="0" xfId="21" applyNumberFormat="1" applyFont="1"/>
    <xf numFmtId="1" fontId="0" fillId="0" borderId="8" xfId="16" applyNumberFormat="1" applyFont="1" applyBorder="1"/>
    <xf numFmtId="168" fontId="0" fillId="0" borderId="11" xfId="16" applyNumberFormat="1" applyFont="1" applyBorder="1"/>
    <xf numFmtId="0" fontId="23" fillId="0" borderId="10" xfId="0" applyFont="1" applyBorder="1"/>
    <xf numFmtId="168" fontId="0" fillId="0" borderId="11" xfId="16" applyNumberFormat="1" applyFont="1" applyBorder="1"/>
    <xf numFmtId="170" fontId="0" fillId="0" borderId="12" xfId="18" applyNumberFormat="1" applyFont="1" applyBorder="1"/>
    <xf numFmtId="170" fontId="0" fillId="0" borderId="9" xfId="18" applyNumberFormat="1" applyFont="1" applyBorder="1"/>
    <xf numFmtId="170" fontId="0" fillId="0" borderId="13" xfId="18" applyNumberFormat="1" applyFont="1" applyBorder="1"/>
    <xf numFmtId="44" fontId="0" fillId="3" borderId="48" xfId="0" applyNumberFormat="1" applyFill="1" applyBorder="1"/>
    <xf numFmtId="0" fontId="0" fillId="3" borderId="9" xfId="0" applyFill="1" applyBorder="1"/>
    <xf numFmtId="0" fontId="8" fillId="0" borderId="0" xfId="0" applyFont="1" applyAlignment="1">
      <alignment wrapText="1"/>
    </xf>
    <xf numFmtId="0" fontId="0" fillId="20" borderId="10" xfId="0" applyFill="1" applyBorder="1"/>
    <xf numFmtId="0" fontId="0" fillId="20" borderId="11" xfId="0" applyFill="1" applyBorder="1"/>
    <xf numFmtId="166" fontId="0" fillId="20" borderId="11" xfId="16" applyNumberFormat="1" applyFont="1" applyFill="1" applyBorder="1"/>
    <xf numFmtId="1" fontId="15" fillId="20" borderId="8" xfId="0" applyNumberFormat="1" applyFont="1" applyFill="1" applyBorder="1"/>
    <xf numFmtId="9" fontId="0" fillId="20" borderId="9" xfId="0" applyNumberFormat="1" applyFill="1" applyBorder="1"/>
    <xf numFmtId="9" fontId="9" fillId="20" borderId="0" xfId="0" applyNumberFormat="1" applyFont="1" applyFill="1"/>
    <xf numFmtId="44" fontId="0" fillId="20" borderId="12" xfId="0" applyNumberFormat="1" applyFill="1" applyBorder="1"/>
    <xf numFmtId="165" fontId="0" fillId="20" borderId="12" xfId="0" applyNumberFormat="1" applyFill="1" applyBorder="1"/>
    <xf numFmtId="165" fontId="0" fillId="20" borderId="9" xfId="0" applyNumberFormat="1" applyFill="1" applyBorder="1"/>
    <xf numFmtId="165" fontId="0" fillId="20" borderId="8" xfId="0" applyNumberFormat="1" applyFill="1" applyBorder="1"/>
    <xf numFmtId="0" fontId="3" fillId="17" borderId="10" xfId="0" applyFont="1" applyFill="1" applyBorder="1"/>
    <xf numFmtId="0" fontId="3" fillId="14" borderId="10" xfId="0" applyFont="1" applyFill="1" applyBorder="1"/>
    <xf numFmtId="0" fontId="3" fillId="18" borderId="10" xfId="0" applyFont="1" applyFill="1" applyBorder="1"/>
    <xf numFmtId="167" fontId="0" fillId="20" borderId="11" xfId="16" applyNumberFormat="1" applyFont="1" applyFill="1" applyBorder="1"/>
    <xf numFmtId="167" fontId="0" fillId="20" borderId="11" xfId="0" applyNumberFormat="1" applyFill="1" applyBorder="1"/>
    <xf numFmtId="2" fontId="29" fillId="20" borderId="11" xfId="0" applyNumberFormat="1" applyFont="1" applyFill="1" applyBorder="1"/>
    <xf numFmtId="0" fontId="23" fillId="20" borderId="10" xfId="0" applyFont="1" applyFill="1" applyBorder="1"/>
    <xf numFmtId="0" fontId="0" fillId="0" borderId="52" xfId="0" applyBorder="1"/>
    <xf numFmtId="0" fontId="0" fillId="0" borderId="53" xfId="0" applyBorder="1"/>
    <xf numFmtId="0" fontId="0" fillId="0" borderId="54" xfId="0" applyBorder="1"/>
    <xf numFmtId="0" fontId="0" fillId="0" borderId="55" xfId="0" applyBorder="1"/>
    <xf numFmtId="172" fontId="0" fillId="0" borderId="56" xfId="0" applyNumberFormat="1" applyBorder="1"/>
    <xf numFmtId="0" fontId="0" fillId="0" borderId="57" xfId="0" applyBorder="1"/>
    <xf numFmtId="0" fontId="0" fillId="0" borderId="58" xfId="0" applyBorder="1"/>
    <xf numFmtId="0" fontId="0" fillId="0" borderId="59" xfId="0" applyBorder="1"/>
    <xf numFmtId="169" fontId="3" fillId="3" borderId="4" xfId="0" applyNumberFormat="1" applyFont="1" applyFill="1" applyBorder="1"/>
    <xf numFmtId="166" fontId="0" fillId="11" borderId="0" xfId="21" applyNumberFormat="1" applyFont="1" applyFill="1"/>
    <xf numFmtId="167" fontId="0" fillId="11" borderId="0" xfId="21" applyNumberFormat="1" applyFont="1" applyFill="1"/>
    <xf numFmtId="2" fontId="0" fillId="11" borderId="0" xfId="21" applyNumberFormat="1" applyFont="1" applyFill="1"/>
    <xf numFmtId="172" fontId="0" fillId="11" borderId="0" xfId="21" applyNumberFormat="1" applyFont="1" applyFill="1"/>
    <xf numFmtId="0" fontId="0" fillId="0" borderId="26" xfId="0" applyBorder="1"/>
    <xf numFmtId="0" fontId="2" fillId="0" borderId="26" xfId="0" applyFont="1" applyBorder="1"/>
    <xf numFmtId="0" fontId="0" fillId="0" borderId="49" xfId="0" applyBorder="1" applyAlignment="1">
      <alignment vertical="center"/>
    </xf>
    <xf numFmtId="0" fontId="0" fillId="0" borderId="50" xfId="0" applyBorder="1" applyAlignment="1">
      <alignment vertical="center"/>
    </xf>
    <xf numFmtId="165" fontId="7" fillId="0" borderId="60" xfId="0" applyNumberFormat="1" applyFont="1" applyBorder="1" applyProtection="1">
      <protection locked="0"/>
    </xf>
    <xf numFmtId="0" fontId="7" fillId="16" borderId="61" xfId="0" applyFont="1" applyFill="1" applyBorder="1" applyAlignment="1">
      <alignment wrapText="1"/>
    </xf>
    <xf numFmtId="0" fontId="0" fillId="0" borderId="61" xfId="0" applyBorder="1" applyAlignment="1">
      <alignment vertical="center"/>
    </xf>
    <xf numFmtId="169" fontId="0" fillId="17" borderId="8" xfId="16" applyNumberFormat="1" applyFont="1" applyFill="1" applyBorder="1"/>
    <xf numFmtId="169" fontId="0" fillId="17" borderId="11" xfId="0" applyNumberFormat="1" applyFill="1" applyBorder="1"/>
    <xf numFmtId="165" fontId="0" fillId="0" borderId="20" xfId="16" applyNumberFormat="1" applyFont="1" applyFill="1" applyBorder="1"/>
    <xf numFmtId="173" fontId="0" fillId="0" borderId="11" xfId="0" applyNumberFormat="1" applyBorder="1"/>
    <xf numFmtId="2" fontId="0" fillId="21" borderId="11" xfId="0" applyNumberFormat="1" applyFill="1" applyBorder="1"/>
    <xf numFmtId="0" fontId="0" fillId="21" borderId="0" xfId="0" applyFill="1"/>
    <xf numFmtId="2" fontId="0" fillId="21" borderId="8" xfId="0" applyNumberFormat="1" applyFill="1" applyBorder="1"/>
    <xf numFmtId="2" fontId="0" fillId="0" borderId="4" xfId="0" applyNumberFormat="1" applyBorder="1"/>
    <xf numFmtId="2" fontId="0" fillId="2" borderId="4" xfId="0" applyNumberFormat="1" applyFill="1" applyBorder="1"/>
    <xf numFmtId="0" fontId="30" fillId="0" borderId="4" xfId="0" applyFont="1" applyBorder="1"/>
    <xf numFmtId="1" fontId="30" fillId="0" borderId="4" xfId="0" applyNumberFormat="1" applyFont="1" applyBorder="1"/>
    <xf numFmtId="0" fontId="3" fillId="0" borderId="0" xfId="0" applyFont="1" applyAlignment="1">
      <alignment wrapText="1"/>
    </xf>
    <xf numFmtId="0" fontId="0" fillId="0" borderId="62" xfId="0" applyBorder="1"/>
    <xf numFmtId="0" fontId="0" fillId="0" borderId="63" xfId="0" applyBorder="1"/>
    <xf numFmtId="0" fontId="0" fillId="0" borderId="64" xfId="0" applyBorder="1"/>
    <xf numFmtId="0" fontId="0" fillId="0" borderId="21" xfId="0" applyBorder="1"/>
    <xf numFmtId="2" fontId="15" fillId="0" borderId="8" xfId="0" applyNumberFormat="1" applyFont="1" applyBorder="1"/>
    <xf numFmtId="0" fontId="2" fillId="14" borderId="10" xfId="0" applyFont="1" applyFill="1" applyBorder="1"/>
    <xf numFmtId="0" fontId="2" fillId="18" borderId="10" xfId="0" applyFont="1" applyFill="1" applyBorder="1"/>
    <xf numFmtId="0" fontId="2" fillId="0" borderId="10" xfId="0" applyFont="1" applyBorder="1"/>
    <xf numFmtId="0" fontId="2" fillId="0" borderId="11" xfId="0" applyFont="1" applyBorder="1"/>
    <xf numFmtId="2" fontId="29" fillId="18" borderId="11" xfId="0" applyNumberFormat="1" applyFont="1" applyFill="1" applyBorder="1"/>
    <xf numFmtId="1" fontId="29" fillId="17" borderId="8" xfId="0" applyNumberFormat="1" applyFont="1" applyFill="1" applyBorder="1"/>
    <xf numFmtId="175" fontId="0" fillId="14" borderId="11" xfId="0" applyNumberFormat="1" applyFill="1" applyBorder="1"/>
    <xf numFmtId="2" fontId="2" fillId="14" borderId="11" xfId="0" applyNumberFormat="1" applyFont="1" applyFill="1" applyBorder="1"/>
    <xf numFmtId="2" fontId="0" fillId="14" borderId="12" xfId="0" applyNumberFormat="1" applyFill="1" applyBorder="1"/>
    <xf numFmtId="2" fontId="0" fillId="14" borderId="13" xfId="0" applyNumberFormat="1" applyFill="1" applyBorder="1"/>
    <xf numFmtId="176" fontId="0" fillId="17" borderId="12" xfId="0" applyNumberFormat="1" applyFill="1" applyBorder="1"/>
    <xf numFmtId="176" fontId="0" fillId="17" borderId="13" xfId="0" applyNumberFormat="1" applyFill="1" applyBorder="1"/>
    <xf numFmtId="0" fontId="2" fillId="17" borderId="11" xfId="0" applyFont="1" applyFill="1" applyBorder="1"/>
    <xf numFmtId="167" fontId="0" fillId="3" borderId="0" xfId="0" applyNumberFormat="1" applyFill="1"/>
    <xf numFmtId="0" fontId="15" fillId="7" borderId="0" xfId="0" applyFont="1" applyFill="1"/>
    <xf numFmtId="0" fontId="19" fillId="7" borderId="0" xfId="20" applyFont="1" applyFill="1" applyBorder="1"/>
    <xf numFmtId="170" fontId="19" fillId="7" borderId="0" xfId="18" applyNumberFormat="1" applyFont="1" applyFill="1" applyBorder="1"/>
    <xf numFmtId="0" fontId="2" fillId="7" borderId="0" xfId="0" applyFont="1" applyFill="1"/>
    <xf numFmtId="0" fontId="9" fillId="7" borderId="0" xfId="0" applyFont="1" applyFill="1"/>
    <xf numFmtId="0" fontId="24" fillId="7" borderId="0" xfId="0" applyFont="1" applyFill="1"/>
    <xf numFmtId="2" fontId="9" fillId="7" borderId="0" xfId="0" applyNumberFormat="1" applyFont="1" applyFill="1"/>
    <xf numFmtId="0" fontId="19" fillId="7" borderId="0" xfId="20" applyFont="1" applyFill="1" applyBorder="1" applyAlignment="1">
      <alignment horizontal="left" wrapText="1"/>
    </xf>
    <xf numFmtId="0" fontId="0" fillId="22" borderId="0" xfId="0" applyFill="1"/>
    <xf numFmtId="0" fontId="0" fillId="23" borderId="0" xfId="0" applyFill="1"/>
    <xf numFmtId="0" fontId="15" fillId="0" borderId="0" xfId="0" applyFont="1"/>
    <xf numFmtId="0" fontId="0" fillId="5" borderId="0" xfId="0" applyFill="1"/>
    <xf numFmtId="0" fontId="15" fillId="5" borderId="0" xfId="0" applyFont="1" applyFill="1"/>
    <xf numFmtId="0" fontId="2" fillId="5" borderId="0" xfId="0" applyFont="1" applyFill="1"/>
    <xf numFmtId="0" fontId="14" fillId="5" borderId="0" xfId="0" applyFont="1" applyFill="1"/>
    <xf numFmtId="0" fontId="13" fillId="23" borderId="0" xfId="0" applyFont="1" applyFill="1"/>
    <xf numFmtId="0" fontId="9" fillId="23" borderId="0" xfId="0" applyFont="1" applyFill="1"/>
    <xf numFmtId="0" fontId="17" fillId="7" borderId="0" xfId="0" applyFont="1" applyFill="1"/>
    <xf numFmtId="0" fontId="18" fillId="7" borderId="0" xfId="0" applyFont="1" applyFill="1"/>
    <xf numFmtId="0" fontId="16" fillId="7" borderId="0" xfId="0" applyFont="1" applyFill="1"/>
    <xf numFmtId="0" fontId="19" fillId="7" borderId="0" xfId="0" applyFont="1" applyFill="1"/>
    <xf numFmtId="0" fontId="19" fillId="7" borderId="0" xfId="0" applyFont="1" applyFill="1" applyAlignment="1">
      <alignment vertical="top"/>
    </xf>
    <xf numFmtId="0" fontId="11" fillId="7" borderId="0" xfId="0" applyFont="1" applyFill="1"/>
    <xf numFmtId="0" fontId="19" fillId="7" borderId="0" xfId="0" applyFont="1" applyFill="1" applyAlignment="1">
      <alignment horizontal="left" wrapText="1"/>
    </xf>
    <xf numFmtId="0" fontId="16" fillId="7" borderId="0" xfId="0" applyFont="1" applyFill="1" applyAlignment="1">
      <alignment horizontal="left" wrapText="1"/>
    </xf>
    <xf numFmtId="5" fontId="19" fillId="7" borderId="0" xfId="0" applyNumberFormat="1" applyFont="1" applyFill="1"/>
    <xf numFmtId="0" fontId="0" fillId="7" borderId="65" xfId="0" applyFill="1" applyBorder="1"/>
    <xf numFmtId="0" fontId="33" fillId="7" borderId="66" xfId="0" applyFont="1" applyFill="1" applyBorder="1"/>
    <xf numFmtId="0" fontId="0" fillId="7" borderId="66" xfId="0" applyFill="1" applyBorder="1"/>
    <xf numFmtId="0" fontId="0" fillId="7" borderId="67" xfId="0" applyFill="1" applyBorder="1"/>
    <xf numFmtId="0" fontId="3" fillId="7" borderId="68" xfId="0" applyFont="1" applyFill="1" applyBorder="1"/>
    <xf numFmtId="0" fontId="0" fillId="7" borderId="68" xfId="0" applyFill="1" applyBorder="1"/>
    <xf numFmtId="0" fontId="15" fillId="7" borderId="68" xfId="0" applyFont="1" applyFill="1" applyBorder="1"/>
    <xf numFmtId="0" fontId="15" fillId="7" borderId="69" xfId="0" applyFont="1" applyFill="1" applyBorder="1"/>
    <xf numFmtId="0" fontId="0" fillId="7" borderId="70" xfId="0" applyFill="1" applyBorder="1"/>
    <xf numFmtId="0" fontId="17" fillId="7" borderId="71" xfId="0" applyFont="1" applyFill="1" applyBorder="1"/>
    <xf numFmtId="0" fontId="0" fillId="7" borderId="71" xfId="0" applyFill="1" applyBorder="1"/>
    <xf numFmtId="0" fontId="17" fillId="7" borderId="71" xfId="0" applyFont="1" applyFill="1" applyBorder="1" applyAlignment="1">
      <alignment vertical="top"/>
    </xf>
    <xf numFmtId="0" fontId="17" fillId="5" borderId="0" xfId="0" applyFont="1" applyFill="1"/>
    <xf numFmtId="0" fontId="0" fillId="7" borderId="69" xfId="0" applyFill="1" applyBorder="1"/>
    <xf numFmtId="0" fontId="16" fillId="0" borderId="0" xfId="0" applyFont="1"/>
    <xf numFmtId="9" fontId="16" fillId="7" borderId="0" xfId="0" applyNumberFormat="1" applyFont="1" applyFill="1"/>
    <xf numFmtId="0" fontId="12" fillId="7" borderId="68" xfId="0" applyFont="1" applyFill="1" applyBorder="1"/>
    <xf numFmtId="0" fontId="16" fillId="7" borderId="0" xfId="0" applyFont="1" applyFill="1" applyAlignment="1">
      <alignment wrapText="1"/>
    </xf>
    <xf numFmtId="0" fontId="0" fillId="7" borderId="72" xfId="0" applyFill="1" applyBorder="1"/>
    <xf numFmtId="0" fontId="28" fillId="7" borderId="0" xfId="0" applyFont="1" applyFill="1"/>
    <xf numFmtId="0" fontId="18" fillId="7" borderId="0" xfId="0" applyFont="1" applyFill="1" applyAlignment="1">
      <alignment wrapText="1"/>
    </xf>
    <xf numFmtId="0" fontId="28" fillId="7" borderId="0" xfId="0" applyFont="1" applyFill="1" applyAlignment="1">
      <alignment wrapText="1"/>
    </xf>
    <xf numFmtId="0" fontId="18" fillId="7" borderId="69" xfId="0" applyFont="1" applyFill="1" applyBorder="1" applyAlignment="1">
      <alignment wrapText="1"/>
    </xf>
    <xf numFmtId="0" fontId="2" fillId="7" borderId="68" xfId="0" applyFont="1" applyFill="1" applyBorder="1"/>
    <xf numFmtId="0" fontId="19" fillId="7" borderId="0" xfId="0" applyFont="1" applyFill="1" applyAlignment="1">
      <alignment wrapText="1"/>
    </xf>
    <xf numFmtId="0" fontId="27" fillId="7" borderId="69" xfId="0" applyFont="1" applyFill="1" applyBorder="1" applyAlignment="1">
      <alignment wrapText="1"/>
    </xf>
    <xf numFmtId="0" fontId="3" fillId="24" borderId="73" xfId="0" applyFont="1" applyFill="1" applyBorder="1"/>
    <xf numFmtId="165" fontId="3" fillId="24" borderId="73" xfId="16" applyNumberFormat="1" applyFont="1" applyFill="1" applyBorder="1"/>
    <xf numFmtId="0" fontId="0" fillId="25" borderId="73" xfId="0" applyFill="1" applyBorder="1"/>
    <xf numFmtId="165" fontId="0" fillId="25" borderId="73" xfId="16" applyNumberFormat="1" applyFont="1" applyFill="1" applyBorder="1"/>
    <xf numFmtId="2" fontId="0" fillId="25" borderId="73" xfId="0" applyNumberFormat="1" applyFill="1" applyBorder="1"/>
    <xf numFmtId="0" fontId="0" fillId="0" borderId="73" xfId="0" applyBorder="1"/>
    <xf numFmtId="165" fontId="0" fillId="0" borderId="73" xfId="16" applyNumberFormat="1" applyFont="1" applyBorder="1"/>
    <xf numFmtId="0" fontId="0" fillId="24" borderId="73" xfId="0" applyFill="1" applyBorder="1"/>
    <xf numFmtId="165" fontId="0" fillId="24" borderId="73" xfId="16" applyNumberFormat="1" applyFont="1" applyFill="1" applyBorder="1"/>
    <xf numFmtId="165" fontId="0" fillId="25" borderId="73" xfId="16" applyNumberFormat="1" applyFont="1" applyFill="1" applyBorder="1"/>
    <xf numFmtId="0" fontId="3" fillId="26" borderId="73" xfId="0" applyFont="1" applyFill="1" applyBorder="1"/>
    <xf numFmtId="165" fontId="3" fillId="26" borderId="73" xfId="16" applyNumberFormat="1" applyFont="1" applyFill="1" applyBorder="1"/>
    <xf numFmtId="0" fontId="0" fillId="27" borderId="73" xfId="0" applyFill="1" applyBorder="1"/>
    <xf numFmtId="165" fontId="0" fillId="27" borderId="73" xfId="16" applyNumberFormat="1" applyFont="1" applyFill="1" applyBorder="1"/>
    <xf numFmtId="9" fontId="0" fillId="25" borderId="73" xfId="0" applyNumberFormat="1" applyFill="1" applyBorder="1"/>
    <xf numFmtId="0" fontId="3" fillId="25" borderId="73" xfId="0" applyFont="1" applyFill="1" applyBorder="1"/>
    <xf numFmtId="165" fontId="0" fillId="0" borderId="73" xfId="16" applyNumberFormat="1" applyFont="1" applyFill="1" applyBorder="1"/>
    <xf numFmtId="165" fontId="0" fillId="24" borderId="73" xfId="0" applyNumberFormat="1" applyFill="1" applyBorder="1"/>
    <xf numFmtId="165" fontId="3" fillId="24" borderId="73" xfId="0" applyNumberFormat="1" applyFont="1" applyFill="1" applyBorder="1"/>
    <xf numFmtId="165" fontId="0" fillId="25" borderId="73" xfId="0" applyNumberFormat="1" applyFill="1" applyBorder="1"/>
    <xf numFmtId="165" fontId="0" fillId="26" borderId="73" xfId="0" applyNumberFormat="1" applyFill="1" applyBorder="1"/>
    <xf numFmtId="165" fontId="3" fillId="26" borderId="73" xfId="0" applyNumberFormat="1" applyFont="1" applyFill="1" applyBorder="1"/>
    <xf numFmtId="165" fontId="0" fillId="27" borderId="73" xfId="0" applyNumberFormat="1" applyFill="1" applyBorder="1"/>
    <xf numFmtId="165" fontId="0" fillId="0" borderId="73" xfId="0" applyNumberFormat="1" applyBorder="1"/>
    <xf numFmtId="44" fontId="0" fillId="0" borderId="73" xfId="0" applyNumberFormat="1" applyBorder="1"/>
    <xf numFmtId="44" fontId="3" fillId="24" borderId="73" xfId="0" applyNumberFormat="1" applyFont="1" applyFill="1" applyBorder="1"/>
    <xf numFmtId="165" fontId="3" fillId="25" borderId="73" xfId="0" applyNumberFormat="1" applyFont="1" applyFill="1" applyBorder="1"/>
    <xf numFmtId="0" fontId="3" fillId="0" borderId="73" xfId="0" applyFont="1" applyBorder="1"/>
    <xf numFmtId="0" fontId="0" fillId="7" borderId="0" xfId="0" applyFill="1" applyAlignment="1">
      <alignment horizontal="center"/>
    </xf>
    <xf numFmtId="165" fontId="3" fillId="0" borderId="11" xfId="0" applyNumberFormat="1" applyFont="1" applyBorder="1"/>
    <xf numFmtId="166" fontId="0" fillId="14" borderId="0" xfId="0" applyNumberFormat="1" applyFill="1"/>
    <xf numFmtId="0" fontId="34" fillId="7" borderId="66" xfId="0" applyFont="1" applyFill="1" applyBorder="1"/>
    <xf numFmtId="166" fontId="0" fillId="0" borderId="0" xfId="0" applyNumberFormat="1"/>
    <xf numFmtId="1" fontId="0" fillId="0" borderId="1" xfId="0" applyNumberFormat="1" applyBorder="1"/>
    <xf numFmtId="0" fontId="19" fillId="25" borderId="0" xfId="0" applyFont="1" applyFill="1"/>
    <xf numFmtId="0" fontId="19" fillId="25" borderId="73" xfId="0" applyFont="1" applyFill="1" applyBorder="1"/>
    <xf numFmtId="0" fontId="0" fillId="25" borderId="0" xfId="0" applyFill="1"/>
    <xf numFmtId="0" fontId="19" fillId="25" borderId="0" xfId="0" applyFont="1" applyFill="1" applyAlignment="1">
      <alignment wrapText="1"/>
    </xf>
    <xf numFmtId="0" fontId="17" fillId="25" borderId="0" xfId="0" applyFont="1" applyFill="1"/>
    <xf numFmtId="174" fontId="19" fillId="25" borderId="0" xfId="16" applyNumberFormat="1" applyFont="1" applyFill="1" applyBorder="1"/>
    <xf numFmtId="7" fontId="19" fillId="25" borderId="0" xfId="0" applyNumberFormat="1" applyFont="1" applyFill="1" applyAlignment="1">
      <alignment wrapText="1"/>
    </xf>
    <xf numFmtId="9" fontId="16" fillId="7" borderId="73" xfId="0" applyNumberFormat="1" applyFont="1" applyFill="1" applyBorder="1"/>
    <xf numFmtId="9" fontId="19" fillId="25" borderId="73" xfId="0" applyNumberFormat="1" applyFont="1" applyFill="1" applyBorder="1"/>
    <xf numFmtId="170" fontId="19" fillId="25" borderId="73" xfId="18" applyNumberFormat="1" applyFont="1" applyFill="1" applyBorder="1"/>
    <xf numFmtId="1" fontId="19" fillId="25" borderId="73" xfId="18" applyNumberFormat="1" applyFont="1" applyFill="1" applyBorder="1"/>
    <xf numFmtId="1" fontId="19" fillId="25" borderId="73" xfId="0" applyNumberFormat="1" applyFont="1" applyFill="1" applyBorder="1"/>
    <xf numFmtId="0" fontId="19" fillId="7" borderId="73" xfId="0" applyFont="1" applyFill="1" applyBorder="1"/>
    <xf numFmtId="166" fontId="19" fillId="25" borderId="73" xfId="0" applyNumberFormat="1" applyFont="1" applyFill="1" applyBorder="1"/>
    <xf numFmtId="10" fontId="19" fillId="25" borderId="73" xfId="0" applyNumberFormat="1" applyFont="1" applyFill="1" applyBorder="1"/>
    <xf numFmtId="5" fontId="19" fillId="25" borderId="73" xfId="0" applyNumberFormat="1" applyFont="1" applyFill="1" applyBorder="1"/>
    <xf numFmtId="0" fontId="19" fillId="25" borderId="73" xfId="0" applyFont="1" applyFill="1" applyBorder="1" applyAlignment="1">
      <alignment wrapText="1"/>
    </xf>
    <xf numFmtId="0" fontId="17" fillId="25" borderId="73" xfId="0" applyFont="1" applyFill="1" applyBorder="1"/>
    <xf numFmtId="0" fontId="0" fillId="25" borderId="0" xfId="0" applyFill="1" applyAlignment="1">
      <alignment horizontal="center"/>
    </xf>
    <xf numFmtId="0" fontId="0" fillId="27" borderId="0" xfId="0" applyFill="1" applyAlignment="1">
      <alignment horizontal="center"/>
    </xf>
    <xf numFmtId="0" fontId="0" fillId="27" borderId="0" xfId="0" applyFill="1"/>
    <xf numFmtId="1" fontId="19" fillId="25" borderId="74" xfId="0" applyNumberFormat="1" applyFont="1" applyFill="1" applyBorder="1"/>
    <xf numFmtId="169" fontId="0" fillId="3" borderId="16" xfId="0" applyNumberFormat="1" applyFill="1" applyBorder="1"/>
    <xf numFmtId="169" fontId="0" fillId="3" borderId="17" xfId="0" applyNumberFormat="1" applyFill="1" applyBorder="1"/>
    <xf numFmtId="169" fontId="0" fillId="3" borderId="18" xfId="0" applyNumberFormat="1" applyFill="1" applyBorder="1"/>
    <xf numFmtId="0" fontId="0" fillId="3" borderId="7" xfId="0" applyFill="1" applyBorder="1"/>
    <xf numFmtId="0" fontId="0" fillId="3" borderId="8" xfId="0" applyFill="1" applyBorder="1"/>
    <xf numFmtId="165" fontId="0" fillId="3" borderId="8" xfId="16" applyNumberFormat="1" applyFont="1" applyFill="1" applyBorder="1"/>
    <xf numFmtId="2" fontId="0" fillId="3" borderId="8" xfId="0" applyNumberFormat="1" applyFill="1" applyBorder="1"/>
    <xf numFmtId="168" fontId="0" fillId="3" borderId="9" xfId="0" applyNumberFormat="1" applyFill="1" applyBorder="1"/>
    <xf numFmtId="169" fontId="0" fillId="3" borderId="8" xfId="0" applyNumberFormat="1" applyFill="1" applyBorder="1"/>
    <xf numFmtId="2" fontId="0" fillId="17" borderId="12" xfId="0" applyNumberFormat="1" applyFill="1" applyBorder="1"/>
    <xf numFmtId="169" fontId="0" fillId="25" borderId="73" xfId="16" applyNumberFormat="1" applyFont="1" applyFill="1" applyBorder="1"/>
    <xf numFmtId="9" fontId="17" fillId="7" borderId="0" xfId="0" applyNumberFormat="1" applyFont="1" applyFill="1"/>
    <xf numFmtId="9" fontId="19" fillId="7" borderId="0" xfId="0" applyNumberFormat="1" applyFont="1" applyFill="1"/>
    <xf numFmtId="10" fontId="17" fillId="7" borderId="0" xfId="0" applyNumberFormat="1" applyFont="1" applyFill="1"/>
    <xf numFmtId="0" fontId="0" fillId="28" borderId="69" xfId="0" applyFill="1" applyBorder="1"/>
    <xf numFmtId="0" fontId="0" fillId="28" borderId="72" xfId="0" applyFill="1" applyBorder="1"/>
    <xf numFmtId="0" fontId="0" fillId="28" borderId="67" xfId="0" applyFill="1" applyBorder="1"/>
    <xf numFmtId="166" fontId="19" fillId="25" borderId="0" xfId="0" applyNumberFormat="1" applyFont="1" applyFill="1"/>
    <xf numFmtId="0" fontId="8" fillId="25" borderId="73" xfId="0" applyFont="1" applyFill="1" applyBorder="1" applyAlignment="1">
      <alignment horizontal="left" vertical="top" wrapText="1"/>
    </xf>
    <xf numFmtId="0" fontId="27" fillId="7" borderId="0" xfId="0" applyFont="1" applyFill="1" applyAlignment="1">
      <alignment horizontal="center" wrapText="1"/>
    </xf>
    <xf numFmtId="0" fontId="0" fillId="13" borderId="0" xfId="0" applyFill="1" applyAlignment="1">
      <alignment horizontal="left" wrapText="1"/>
    </xf>
    <xf numFmtId="0" fontId="0" fillId="14" borderId="0" xfId="0" applyFill="1" applyAlignment="1">
      <alignment horizontal="center"/>
    </xf>
    <xf numFmtId="0" fontId="0" fillId="0" borderId="0" xfId="0" applyAlignment="1">
      <alignment horizontal="center"/>
    </xf>
    <xf numFmtId="0" fontId="0" fillId="0" borderId="0" xfId="0" applyAlignment="1">
      <alignment horizontal="center" wrapText="1"/>
    </xf>
  </cellXfs>
  <cellStyles count="10">
    <cellStyle name="Normal" xfId="0"/>
    <cellStyle name="Percent" xfId="15"/>
    <cellStyle name="Currency" xfId="16"/>
    <cellStyle name="Currency [0]" xfId="17"/>
    <cellStyle name="Comma" xfId="18"/>
    <cellStyle name="Comma [0]" xfId="19"/>
    <cellStyle name="20% - Accent1" xfId="20"/>
    <cellStyle name="Per cent" xfId="21"/>
    <cellStyle name="Currency 2" xfId="22"/>
    <cellStyle name="Hyperlink" xfId="23"/>
  </cellStyles>
  <dxfs count="15">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EE5C8"/>
      </font>
      <border/>
    </dxf>
    <dxf>
      <fill>
        <patternFill patternType="solid">
          <bgColor rgb="FFFEE5C8"/>
        </patternFill>
      </fill>
      <border>
        <left/>
        <right/>
        <top/>
        <bottom/>
      </border>
    </dxf>
    <dxf>
      <border>
        <left style="thin">
          <color rgb="FFFF0000"/>
        </left>
        <right style="thin">
          <color rgb="FFFF0000"/>
        </right>
        <top style="thin">
          <color rgb="FFFF0000"/>
        </top>
        <bottom style="thin">
          <color rgb="FFFF0000"/>
        </bottom>
        <vertical/>
        <horizontal/>
      </border>
    </dxf>
    <dxf>
      <fill>
        <patternFill>
          <bgColor rgb="FFFEE5C8"/>
        </patternFill>
      </fill>
      <border>
        <left style="thin"/>
        <right style="thin"/>
        <top style="thin"/>
        <bottom style="thin"/>
        <vertical/>
        <horizontal/>
      </border>
    </dxf>
    <dxf>
      <fill>
        <patternFill patternType="solid">
          <bgColor theme="5" tint="0.7999799847602844"/>
        </patternFill>
      </fill>
      <border>
        <left style="thin"/>
        <right style="thin"/>
        <top style="thin"/>
        <bottom style="thin"/>
      </border>
    </dxf>
    <dxf>
      <numFmt numFmtId="165" formatCode="_-&quot;$&quot;* #,##0_-;\-&quot;$&quot;* #,##0_-;_-&quot;$&quot;* &quot;-&quot;??_-;_-@_-"/>
    </dxf>
    <dxf>
      <numFmt numFmtId="171" formatCode="_-&quot;$&quot;* #,##0.0_-;\-&quot;$&quot;* #,##0.0_-;_-&quot;$&quot;* &quot;-&quot;??_-;_-@_-"/>
    </dxf>
    <dxf>
      <numFmt numFmtId="44" formatCode="_-&quot;$&quot;* #,##0.00_-;\-&quot;$&quot;* #,##0.00_-;_-&quot;$&quot;*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Housing development benefits over 40 years</a:t>
            </a:r>
            <a:r>
              <a:rPr lang="en-US" cap="none" sz="1200" b="0" i="0" u="none" baseline="0">
                <a:latin typeface="Calibri"/>
                <a:ea typeface="Calibri"/>
                <a:cs typeface="Calibri"/>
              </a:rPr>
              <a:t> ($, NPV)</a:t>
            </a:r>
          </a:p>
        </c:rich>
      </c:tx>
      <c:layout/>
      <c:overlay val="0"/>
      <c:spPr>
        <a:noFill/>
        <a:ln>
          <a:noFill/>
        </a:ln>
      </c:spPr>
    </c:title>
    <c:plotArea>
      <c:layout/>
      <c:barChart>
        <c:barDir val="col"/>
        <c:grouping val="clustered"/>
        <c:varyColors val="0"/>
        <c:ser>
          <c:idx val="0"/>
          <c:order val="0"/>
          <c:spPr>
            <a:solidFill>
              <a:srgbClr val="E9D9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'Summary benefits'!$B$7:$B$10</c:f>
              <c:strCache/>
            </c:strRef>
          </c:cat>
          <c:val>
            <c:numRef>
              <c:f>'Summary benefits'!$I$7:$I$10</c:f>
              <c:numCache/>
            </c:numRef>
          </c:val>
        </c:ser>
        <c:overlap val="-27"/>
        <c:gapWidth val="219"/>
        <c:axId val="2742650"/>
        <c:axId val="24683851"/>
      </c:barChart>
      <c:catAx>
        <c:axId val="2742650"/>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4683851"/>
        <c:crosses val="autoZero"/>
        <c:auto val="1"/>
        <c:lblOffset val="100"/>
        <c:noMultiLvlLbl val="0"/>
      </c:catAx>
      <c:valAx>
        <c:axId val="24683851"/>
        <c:scaling>
          <c:orientation val="minMax"/>
        </c:scaling>
        <c:axPos val="l"/>
        <c:majorGridlines>
          <c:spPr>
            <a:ln w="9525" cap="flat" cmpd="sng">
              <a:solidFill>
                <a:schemeClr val="tx1">
                  <a:lumMod val="15000"/>
                  <a:lumOff val="85000"/>
                </a:schemeClr>
              </a:solidFill>
              <a:round/>
            </a:ln>
          </c:spPr>
        </c:majorGridlines>
        <c:delete val="0"/>
        <c:numFmt formatCode="_-&quot;$&quot;* #,##0_-;\-&quot;$&quot;* #,##0_-;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742650"/>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Annual per dwelling Environmental and local amenity ($)</a:t>
            </a:r>
          </a:p>
        </c:rich>
      </c:tx>
      <c:layout/>
      <c:overlay val="0"/>
      <c:spPr>
        <a:noFill/>
        <a:ln>
          <a:noFill/>
        </a:ln>
      </c:spPr>
    </c:title>
    <c:plotArea>
      <c:layout/>
      <c:barChart>
        <c:barDir val="col"/>
        <c:grouping val="clustered"/>
        <c:varyColors val="0"/>
        <c:ser>
          <c:idx val="0"/>
          <c:order val="0"/>
          <c:spPr>
            <a:solidFill>
              <a:srgbClr val="87FFC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('Summary benefits'!$B$20,'Summary benefits'!$B$22:$B$25)</c:f>
              <c:strCache/>
            </c:strRef>
          </c:cat>
          <c:val>
            <c:numRef>
              <c:f>('Summary benefits'!$G$20,'Summary benefits'!$G$22:$G$25)</c:f>
              <c:numCache/>
            </c:numRef>
          </c:val>
        </c:ser>
        <c:overlap val="-27"/>
        <c:gapWidth val="219"/>
        <c:axId val="32186740"/>
        <c:axId val="21245205"/>
      </c:barChart>
      <c:catAx>
        <c:axId val="32186740"/>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245205"/>
        <c:crosses val="autoZero"/>
        <c:auto val="1"/>
        <c:lblOffset val="100"/>
        <c:noMultiLvlLbl val="0"/>
      </c:catAx>
      <c:valAx>
        <c:axId val="21245205"/>
        <c:scaling>
          <c:orientation val="minMax"/>
        </c:scaling>
        <c:axPos val="l"/>
        <c:majorGridlines>
          <c:spPr>
            <a:ln w="9525" cap="flat" cmpd="sng">
              <a:solidFill>
                <a:schemeClr val="tx1">
                  <a:lumMod val="15000"/>
                  <a:lumOff val="85000"/>
                </a:schemeClr>
              </a:solidFill>
              <a:round/>
            </a:ln>
          </c:spPr>
        </c:majorGridlines>
        <c:delete val="0"/>
        <c:numFmt formatCode="_-&quot;$&quot;* #,##0_-;\-&quot;$&quot;* #,##0_-;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186740"/>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Combined monetised benefits ($)</a:t>
            </a:r>
          </a:p>
        </c:rich>
      </c:tx>
      <c:layout/>
      <c:overlay val="0"/>
      <c:spPr>
        <a:noFill/>
        <a:ln>
          <a:noFill/>
        </a:ln>
      </c:spPr>
    </c:title>
    <c:plotArea>
      <c:layout/>
      <c:barChart>
        <c:barDir val="col"/>
        <c:grouping val="clustered"/>
        <c:varyColors val="0"/>
        <c:ser>
          <c:idx val="0"/>
          <c:order val="0"/>
          <c:spPr>
            <a:solidFill>
              <a:srgbClr val="52DB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'Summary benefits'!$G$1:$I$1</c:f>
              <c:strCache/>
            </c:strRef>
          </c:cat>
          <c:val>
            <c:numRef>
              <c:f>'Summary benefits'!$G$32:$I$32</c:f>
              <c:numCache/>
            </c:numRef>
          </c:val>
        </c:ser>
        <c:overlap val="-27"/>
        <c:gapWidth val="219"/>
        <c:axId val="56989118"/>
        <c:axId val="43140015"/>
      </c:barChart>
      <c:catAx>
        <c:axId val="56989118"/>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140015"/>
        <c:crosses val="autoZero"/>
        <c:auto val="1"/>
        <c:lblOffset val="100"/>
        <c:noMultiLvlLbl val="0"/>
      </c:catAx>
      <c:valAx>
        <c:axId val="43140015"/>
        <c:scaling>
          <c:orientation val="minMax"/>
        </c:scaling>
        <c:axPos val="l"/>
        <c:majorGridlines>
          <c:spPr>
            <a:ln w="9525" cap="flat" cmpd="sng">
              <a:solidFill>
                <a:schemeClr val="tx1">
                  <a:lumMod val="15000"/>
                  <a:lumOff val="85000"/>
                </a:schemeClr>
              </a:solidFill>
              <a:round/>
            </a:ln>
          </c:spPr>
        </c:majorGridlines>
        <c:delete val="0"/>
        <c:numFmt formatCode="_-&quot;$&quot;* #,##0_-;\-&quot;$&quot;* #,##0_-;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989118"/>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Combined monetised benefits, ($, NPV)</a:t>
            </a:r>
          </a:p>
        </c:rich>
      </c:tx>
      <c:layout/>
      <c:overlay val="0"/>
      <c:spPr>
        <a:noFill/>
        <a:ln>
          <a:noFill/>
        </a:ln>
      </c:spPr>
    </c:title>
    <c:plotArea>
      <c:layout/>
      <c:barChart>
        <c:barDir val="col"/>
        <c:grouping val="clustered"/>
        <c:varyColors val="0"/>
        <c:ser>
          <c:idx val="0"/>
          <c:order val="0"/>
          <c:spPr>
            <a:solidFill>
              <a:srgbClr val="52DB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'Summary benefits'!$G$1:$I$1</c:f>
              <c:strCache/>
            </c:strRef>
          </c:cat>
          <c:val>
            <c:numRef>
              <c:f>'Summary benefits'!$G$33:$I$33</c:f>
              <c:numCache/>
            </c:numRef>
          </c:val>
        </c:ser>
        <c:overlap val="-27"/>
        <c:gapWidth val="219"/>
        <c:axId val="52715816"/>
        <c:axId val="4680297"/>
      </c:barChart>
      <c:catAx>
        <c:axId val="52715816"/>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80297"/>
        <c:crosses val="autoZero"/>
        <c:auto val="1"/>
        <c:lblOffset val="100"/>
        <c:noMultiLvlLbl val="0"/>
      </c:catAx>
      <c:valAx>
        <c:axId val="4680297"/>
        <c:scaling>
          <c:orientation val="minMax"/>
        </c:scaling>
        <c:axPos val="l"/>
        <c:majorGridlines>
          <c:spPr>
            <a:ln w="9525" cap="flat" cmpd="sng">
              <a:solidFill>
                <a:schemeClr val="tx1">
                  <a:lumMod val="15000"/>
                  <a:lumOff val="85000"/>
                </a:schemeClr>
              </a:solidFill>
              <a:round/>
            </a:ln>
          </c:spPr>
        </c:majorGridlines>
        <c:delete val="0"/>
        <c:numFmt formatCode="_-&quot;$&quot;* #,##0_-;\-&quot;$&quot;* #,##0_-;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2715816"/>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Energy and GHG sequestration abatement</a:t>
            </a:r>
            <a:r>
              <a:rPr lang="en-US" cap="none" sz="1200" b="0" i="0" u="none" baseline="0">
                <a:latin typeface="Calibri"/>
                <a:ea typeface="Calibri"/>
                <a:cs typeface="Calibri"/>
              </a:rPr>
              <a:t> (tons)</a:t>
            </a:r>
          </a:p>
        </c:rich>
      </c:tx>
      <c:layout/>
      <c:overlay val="0"/>
      <c:spPr>
        <a:noFill/>
        <a:ln>
          <a:noFill/>
        </a:ln>
      </c:spPr>
    </c:title>
    <c:plotArea>
      <c:layout/>
      <c:barChart>
        <c:barDir val="col"/>
        <c:grouping val="clustered"/>
        <c:varyColors val="0"/>
        <c:ser>
          <c:idx val="0"/>
          <c:order val="0"/>
          <c:spPr>
            <a:solidFill>
              <a:srgbClr val="87FFC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'Green Infrastructure'!$K$72:$K$74</c:f>
              <c:strCache/>
            </c:strRef>
          </c:cat>
          <c:val>
            <c:numRef>
              <c:f>'Summary benefits'!$G$19:$I$19</c:f>
              <c:numCache/>
            </c:numRef>
          </c:val>
        </c:ser>
        <c:overlap val="-27"/>
        <c:gapWidth val="219"/>
        <c:axId val="42122674"/>
        <c:axId val="43559747"/>
      </c:barChart>
      <c:catAx>
        <c:axId val="42122674"/>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559747"/>
        <c:crosses val="autoZero"/>
        <c:auto val="1"/>
        <c:lblOffset val="100"/>
        <c:noMultiLvlLbl val="0"/>
      </c:catAx>
      <c:valAx>
        <c:axId val="43559747"/>
        <c:scaling>
          <c:orientation val="minMax"/>
        </c:scaling>
        <c:axPos val="l"/>
        <c:majorGridlines>
          <c:spPr>
            <a:ln w="9525" cap="flat" cmpd="sng">
              <a:solidFill>
                <a:schemeClr val="tx1">
                  <a:lumMod val="15000"/>
                  <a:lumOff val="85000"/>
                </a:schemeClr>
              </a:solidFill>
              <a:round/>
            </a:ln>
          </c:spPr>
        </c:majorGridlines>
        <c:delete val="0"/>
        <c:numFmt formatCode="#,##0_ ;\-#,##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12267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Housing development </a:t>
            </a:r>
            <a:r>
              <a:rPr lang="en-US" cap="none" sz="1200" b="0" i="0" u="none" baseline="0">
                <a:latin typeface="Calibri"/>
                <a:ea typeface="Calibri"/>
                <a:cs typeface="Calibri"/>
              </a:rPr>
              <a:t>benefits over 40 years ($)</a:t>
            </a:r>
          </a:p>
        </c:rich>
      </c:tx>
      <c:layout/>
      <c:overlay val="0"/>
      <c:spPr>
        <a:noFill/>
        <a:ln>
          <a:noFill/>
        </a:ln>
      </c:spPr>
    </c:title>
    <c:plotArea>
      <c:layout/>
      <c:barChart>
        <c:barDir val="col"/>
        <c:grouping val="clustered"/>
        <c:varyColors val="0"/>
        <c:ser>
          <c:idx val="0"/>
          <c:order val="0"/>
          <c:spPr>
            <a:solidFill>
              <a:srgbClr val="E9D9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'Summary benefits'!$B$3:$B$6</c:f>
              <c:strCache/>
            </c:strRef>
          </c:cat>
          <c:val>
            <c:numRef>
              <c:f>'Summary benefits'!$I$3:$I$6</c:f>
              <c:numCache/>
            </c:numRef>
          </c:val>
        </c:ser>
        <c:overlap val="-27"/>
        <c:gapWidth val="219"/>
        <c:axId val="20828068"/>
        <c:axId val="53234885"/>
      </c:barChart>
      <c:catAx>
        <c:axId val="20828068"/>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3234885"/>
        <c:crosses val="autoZero"/>
        <c:auto val="1"/>
        <c:lblOffset val="100"/>
        <c:noMultiLvlLbl val="0"/>
      </c:catAx>
      <c:valAx>
        <c:axId val="53234885"/>
        <c:scaling>
          <c:orientation val="minMax"/>
        </c:scaling>
        <c:axPos val="l"/>
        <c:majorGridlines>
          <c:spPr>
            <a:ln w="9525" cap="flat" cmpd="sng">
              <a:solidFill>
                <a:schemeClr val="tx1">
                  <a:lumMod val="15000"/>
                  <a:lumOff val="85000"/>
                </a:schemeClr>
              </a:solidFill>
              <a:round/>
            </a:ln>
          </c:spPr>
        </c:majorGridlines>
        <c:delete val="0"/>
        <c:numFmt formatCode="_-&quot;$&quot;* #,##0_-;\-&quot;$&quot;* #,##0_-;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828068"/>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Annual h</a:t>
            </a:r>
            <a:r>
              <a:rPr lang="en-US" cap="none" sz="1200" b="0" i="0" u="none" baseline="0">
                <a:latin typeface="Calibri"/>
                <a:ea typeface="Calibri"/>
                <a:cs typeface="Calibri"/>
              </a:rPr>
              <a:t>ousing development benefits </a:t>
            </a:r>
            <a:r>
              <a:rPr lang="en-US" cap="none" sz="1200" b="0" i="0" u="none" baseline="0">
                <a:latin typeface="Calibri"/>
                <a:ea typeface="Calibri"/>
                <a:cs typeface="Calibri"/>
              </a:rPr>
              <a:t>($)</a:t>
            </a:r>
          </a:p>
        </c:rich>
      </c:tx>
      <c:layout/>
      <c:overlay val="0"/>
      <c:spPr>
        <a:noFill/>
        <a:ln>
          <a:noFill/>
        </a:ln>
      </c:spPr>
    </c:title>
    <c:plotArea>
      <c:layout/>
      <c:barChart>
        <c:barDir val="col"/>
        <c:grouping val="clustered"/>
        <c:varyColors val="0"/>
        <c:ser>
          <c:idx val="0"/>
          <c:order val="0"/>
          <c:spPr>
            <a:solidFill>
              <a:srgbClr val="E9D9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'Summary benefits'!$B$3:$B$6</c:f>
              <c:strCache/>
            </c:strRef>
          </c:cat>
          <c:val>
            <c:numRef>
              <c:f>'Summary benefits'!$H$3:$H$6</c:f>
              <c:numCache/>
            </c:numRef>
          </c:val>
        </c:ser>
        <c:overlap val="-27"/>
        <c:gapWidth val="219"/>
        <c:axId val="9351918"/>
        <c:axId val="17058399"/>
      </c:barChart>
      <c:catAx>
        <c:axId val="9351918"/>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7058399"/>
        <c:crosses val="autoZero"/>
        <c:auto val="1"/>
        <c:lblOffset val="100"/>
        <c:noMultiLvlLbl val="0"/>
      </c:catAx>
      <c:valAx>
        <c:axId val="17058399"/>
        <c:scaling>
          <c:orientation val="minMax"/>
        </c:scaling>
        <c:axPos val="l"/>
        <c:majorGridlines>
          <c:spPr>
            <a:ln w="9525" cap="flat" cmpd="sng">
              <a:solidFill>
                <a:schemeClr val="tx1">
                  <a:lumMod val="15000"/>
                  <a:lumOff val="85000"/>
                </a:schemeClr>
              </a:solidFill>
              <a:round/>
            </a:ln>
          </c:spPr>
        </c:majorGridlines>
        <c:delete val="0"/>
        <c:numFmt formatCode="_-&quot;$&quot;* #,##0_-;\-&quot;$&quot;* #,##0_-;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351918"/>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Annual per dwelling housing development benefits ($)</a:t>
            </a:r>
          </a:p>
        </c:rich>
      </c:tx>
      <c:layout/>
      <c:overlay val="0"/>
      <c:spPr>
        <a:noFill/>
        <a:ln>
          <a:noFill/>
        </a:ln>
      </c:spPr>
    </c:title>
    <c:plotArea>
      <c:layout/>
      <c:barChart>
        <c:barDir val="col"/>
        <c:grouping val="clustered"/>
        <c:varyColors val="0"/>
        <c:ser>
          <c:idx val="0"/>
          <c:order val="0"/>
          <c:spPr>
            <a:solidFill>
              <a:srgbClr val="E9D9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'Summary benefits'!$B$3:$B$6</c:f>
              <c:strCache/>
            </c:strRef>
          </c:cat>
          <c:val>
            <c:numRef>
              <c:f>'Summary benefits'!$G$3:$G$6</c:f>
              <c:numCache/>
            </c:numRef>
          </c:val>
        </c:ser>
        <c:overlap val="-27"/>
        <c:gapWidth val="219"/>
        <c:axId val="19307864"/>
        <c:axId val="39553049"/>
      </c:barChart>
      <c:catAx>
        <c:axId val="19307864"/>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553049"/>
        <c:crosses val="autoZero"/>
        <c:auto val="1"/>
        <c:lblOffset val="100"/>
        <c:noMultiLvlLbl val="0"/>
      </c:catAx>
      <c:valAx>
        <c:axId val="39553049"/>
        <c:scaling>
          <c:orientation val="minMax"/>
        </c:scaling>
        <c:axPos val="l"/>
        <c:majorGridlines>
          <c:spPr>
            <a:ln w="9525" cap="flat" cmpd="sng">
              <a:solidFill>
                <a:schemeClr val="tx1">
                  <a:lumMod val="15000"/>
                  <a:lumOff val="85000"/>
                </a:schemeClr>
              </a:solidFill>
              <a:round/>
            </a:ln>
          </c:spPr>
        </c:majorGridlines>
        <c:delete val="0"/>
        <c:numFmt formatCode="_-&quot;$&quot;* #,##0_-;\-&quot;$&quot;* #,##0_-;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30786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Environmental and local amenity </a:t>
            </a:r>
            <a:r>
              <a:rPr lang="en-US" cap="none" sz="1200" b="0" i="0" u="none" baseline="0">
                <a:latin typeface="Calibri"/>
                <a:ea typeface="Calibri"/>
                <a:cs typeface="Calibri"/>
              </a:rPr>
              <a:t>over 40 years ($, NPV)</a:t>
            </a:r>
          </a:p>
        </c:rich>
      </c:tx>
      <c:layout/>
      <c:overlay val="0"/>
      <c:spPr>
        <a:noFill/>
        <a:ln>
          <a:noFill/>
        </a:ln>
      </c:spPr>
    </c:title>
    <c:plotArea>
      <c:layout/>
      <c:barChart>
        <c:barDir val="col"/>
        <c:grouping val="clustered"/>
        <c:varyColors val="0"/>
        <c:ser>
          <c:idx val="0"/>
          <c:order val="0"/>
          <c:spPr>
            <a:solidFill>
              <a:srgbClr val="87FFC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'Summary benefits'!$B$27:$B$30</c:f>
              <c:strCache/>
            </c:strRef>
          </c:cat>
          <c:val>
            <c:numRef>
              <c:f>'Summary benefits'!$I$27:$I$30</c:f>
              <c:numCache/>
            </c:numRef>
          </c:val>
        </c:ser>
        <c:overlap val="-27"/>
        <c:gapWidth val="219"/>
        <c:axId val="20433122"/>
        <c:axId val="49680371"/>
      </c:barChart>
      <c:catAx>
        <c:axId val="20433122"/>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9680371"/>
        <c:crosses val="autoZero"/>
        <c:auto val="1"/>
        <c:lblOffset val="100"/>
        <c:noMultiLvlLbl val="0"/>
      </c:catAx>
      <c:valAx>
        <c:axId val="49680371"/>
        <c:scaling>
          <c:orientation val="minMax"/>
        </c:scaling>
        <c:axPos val="l"/>
        <c:majorGridlines>
          <c:spPr>
            <a:ln w="9525" cap="flat" cmpd="sng">
              <a:solidFill>
                <a:schemeClr val="tx1">
                  <a:lumMod val="15000"/>
                  <a:lumOff val="85000"/>
                </a:schemeClr>
              </a:solidFill>
              <a:round/>
            </a:ln>
          </c:spPr>
        </c:majorGridlines>
        <c:delete val="0"/>
        <c:numFmt formatCode="_-&quot;$&quot;* #,##0_-;\-&quot;$&quot;* #,##0_-;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433122"/>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Cost of living relief ($)</a:t>
            </a:r>
          </a:p>
        </c:rich>
      </c:tx>
      <c:layout/>
      <c:overlay val="0"/>
      <c:spPr>
        <a:noFill/>
        <a:ln>
          <a:noFill/>
        </a:ln>
      </c:spPr>
    </c:title>
    <c:plotArea>
      <c:layout/>
      <c:barChart>
        <c:barDir val="col"/>
        <c:grouping val="clustered"/>
        <c:varyColors val="0"/>
        <c:ser>
          <c:idx val="0"/>
          <c:order val="0"/>
          <c:spPr>
            <a:solidFill>
              <a:srgbClr val="B1C7F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'Summary benefits'!$G$1:$I$1</c:f>
              <c:strCache/>
            </c:strRef>
          </c:cat>
          <c:val>
            <c:numRef>
              <c:f>'Summary benefits'!$G$38:$I$38</c:f>
              <c:numCache/>
            </c:numRef>
          </c:val>
        </c:ser>
        <c:overlap val="-27"/>
        <c:gapWidth val="219"/>
        <c:axId val="44470156"/>
        <c:axId val="64687085"/>
      </c:barChart>
      <c:catAx>
        <c:axId val="44470156"/>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687085"/>
        <c:crosses val="autoZero"/>
        <c:auto val="1"/>
        <c:lblOffset val="100"/>
        <c:noMultiLvlLbl val="0"/>
      </c:catAx>
      <c:valAx>
        <c:axId val="64687085"/>
        <c:scaling>
          <c:orientation val="minMax"/>
        </c:scaling>
        <c:axPos val="l"/>
        <c:majorGridlines>
          <c:spPr>
            <a:ln w="9525" cap="flat" cmpd="sng">
              <a:solidFill>
                <a:schemeClr val="tx1">
                  <a:lumMod val="15000"/>
                  <a:lumOff val="85000"/>
                </a:schemeClr>
              </a:solidFill>
              <a:round/>
            </a:ln>
          </c:spPr>
        </c:majorGridlines>
        <c:delete val="0"/>
        <c:numFmt formatCode="_-&quot;$&quot;* #,##0_-;\-&quot;$&quot;* #,##0_-;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4470156"/>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Cost of living relief, ($, NPV)</a:t>
            </a:r>
          </a:p>
        </c:rich>
      </c:tx>
      <c:layout/>
      <c:overlay val="0"/>
      <c:spPr>
        <a:noFill/>
        <a:ln>
          <a:noFill/>
        </a:ln>
      </c:spPr>
    </c:title>
    <c:plotArea>
      <c:layout/>
      <c:barChart>
        <c:barDir val="col"/>
        <c:grouping val="clustered"/>
        <c:varyColors val="0"/>
        <c:ser>
          <c:idx val="0"/>
          <c:order val="0"/>
          <c:spPr>
            <a:solidFill>
              <a:srgbClr val="B7B9F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'Summary benefits'!$G$1:$I$1</c:f>
              <c:strCache/>
            </c:strRef>
          </c:cat>
          <c:val>
            <c:numRef>
              <c:f>'Summary benefits'!$G$40:$I$40</c:f>
              <c:numCache/>
            </c:numRef>
          </c:val>
        </c:ser>
        <c:overlap val="-27"/>
        <c:gapWidth val="219"/>
        <c:axId val="45312854"/>
        <c:axId val="5162503"/>
      </c:barChart>
      <c:catAx>
        <c:axId val="45312854"/>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62503"/>
        <c:crosses val="autoZero"/>
        <c:auto val="1"/>
        <c:lblOffset val="100"/>
        <c:noMultiLvlLbl val="0"/>
      </c:catAx>
      <c:valAx>
        <c:axId val="5162503"/>
        <c:scaling>
          <c:orientation val="minMax"/>
        </c:scaling>
        <c:axPos val="l"/>
        <c:majorGridlines>
          <c:spPr>
            <a:ln w="9525" cap="flat" cmpd="sng">
              <a:solidFill>
                <a:schemeClr val="tx1">
                  <a:lumMod val="15000"/>
                  <a:lumOff val="85000"/>
                </a:schemeClr>
              </a:solidFill>
              <a:round/>
            </a:ln>
          </c:spPr>
        </c:majorGridlines>
        <c:delete val="0"/>
        <c:numFmt formatCode="_-&quot;$&quot;* #,##0_-;\-&quot;$&quot;* #,##0_-;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31285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Environmental and local amenity benefits over 40 years ($)</a:t>
            </a:r>
          </a:p>
        </c:rich>
      </c:tx>
      <c:layout/>
      <c:overlay val="0"/>
      <c:spPr>
        <a:noFill/>
        <a:ln>
          <a:noFill/>
        </a:ln>
      </c:spPr>
    </c:title>
    <c:plotArea>
      <c:layout/>
      <c:barChart>
        <c:barDir val="col"/>
        <c:grouping val="clustered"/>
        <c:varyColors val="0"/>
        <c:ser>
          <c:idx val="0"/>
          <c:order val="0"/>
          <c:spPr>
            <a:solidFill>
              <a:srgbClr val="87FFC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('Summary benefits'!$B$20,'Summary benefits'!$B$22,'Summary benefits'!$B$23,'Summary benefits'!$B$25)</c:f>
              <c:strCache/>
            </c:strRef>
          </c:cat>
          <c:val>
            <c:numRef>
              <c:f>('Summary benefits'!$I$20,'Summary benefits'!$I$22,'Summary benefits'!$I$23,'Summary benefits'!$I$25)</c:f>
              <c:numCache/>
            </c:numRef>
          </c:val>
        </c:ser>
        <c:overlap val="-27"/>
        <c:gapWidth val="219"/>
        <c:axId val="46462528"/>
        <c:axId val="15509569"/>
      </c:barChart>
      <c:catAx>
        <c:axId val="46462528"/>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509569"/>
        <c:crosses val="autoZero"/>
        <c:auto val="1"/>
        <c:lblOffset val="100"/>
        <c:noMultiLvlLbl val="0"/>
      </c:catAx>
      <c:valAx>
        <c:axId val="15509569"/>
        <c:scaling>
          <c:orientation val="minMax"/>
        </c:scaling>
        <c:axPos val="l"/>
        <c:majorGridlines>
          <c:spPr>
            <a:ln w="9525" cap="flat" cmpd="sng">
              <a:solidFill>
                <a:schemeClr val="tx1">
                  <a:lumMod val="15000"/>
                  <a:lumOff val="85000"/>
                </a:schemeClr>
              </a:solidFill>
              <a:round/>
            </a:ln>
          </c:spPr>
        </c:majorGridlines>
        <c:delete val="0"/>
        <c:numFmt formatCode="_-&quot;$&quot;* #,##0_-;\-&quot;$&quot;* #,##0_-;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6462528"/>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Annual Environmental and local amenity ($)</a:t>
            </a:r>
          </a:p>
        </c:rich>
      </c:tx>
      <c:layout/>
      <c:overlay val="0"/>
      <c:spPr>
        <a:noFill/>
        <a:ln>
          <a:noFill/>
        </a:ln>
      </c:spPr>
    </c:title>
    <c:plotArea>
      <c:layout/>
      <c:barChart>
        <c:barDir val="col"/>
        <c:grouping val="clustered"/>
        <c:varyColors val="0"/>
        <c:ser>
          <c:idx val="0"/>
          <c:order val="0"/>
          <c:spPr>
            <a:solidFill>
              <a:srgbClr val="87FFC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('Summary benefits'!$B$20,'Summary benefits'!$B$22:$B$25)</c:f>
              <c:strCache/>
            </c:strRef>
          </c:cat>
          <c:val>
            <c:numRef>
              <c:f>('Summary benefits'!$H$20,'Summary benefits'!$H$22:$H$25)</c:f>
              <c:numCache/>
            </c:numRef>
          </c:val>
        </c:ser>
        <c:overlap val="-27"/>
        <c:gapWidth val="219"/>
        <c:axId val="5368394"/>
        <c:axId val="48315547"/>
      </c:barChart>
      <c:catAx>
        <c:axId val="5368394"/>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8315547"/>
        <c:crosses val="autoZero"/>
        <c:auto val="1"/>
        <c:lblOffset val="100"/>
        <c:noMultiLvlLbl val="0"/>
      </c:catAx>
      <c:valAx>
        <c:axId val="48315547"/>
        <c:scaling>
          <c:orientation val="minMax"/>
        </c:scaling>
        <c:axPos val="l"/>
        <c:majorGridlines>
          <c:spPr>
            <a:ln w="9525" cap="flat" cmpd="sng">
              <a:solidFill>
                <a:schemeClr val="tx1">
                  <a:lumMod val="15000"/>
                  <a:lumOff val="85000"/>
                </a:schemeClr>
              </a:solidFill>
              <a:round/>
            </a:ln>
          </c:spPr>
        </c:majorGridlines>
        <c:delete val="0"/>
        <c:numFmt formatCode="_-&quot;$&quot;* #,##0_-;\-&quot;$&quot;* #,##0_-;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6839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161925</xdr:colOff>
      <xdr:row>21</xdr:row>
      <xdr:rowOff>333375</xdr:rowOff>
    </xdr:from>
    <xdr:to>
      <xdr:col>23</xdr:col>
      <xdr:colOff>504825</xdr:colOff>
      <xdr:row>37</xdr:row>
      <xdr:rowOff>142875</xdr:rowOff>
    </xdr:to>
    <xdr:pic>
      <xdr:nvPicPr>
        <xdr:cNvPr id="17"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29675" y="6667500"/>
          <a:ext cx="5915025" cy="3200400"/>
        </a:xfrm>
        <a:prstGeom prst="rect">
          <a:avLst/>
        </a:prstGeom>
        <a:ln>
          <a:noFill/>
        </a:ln>
      </xdr:spPr>
    </xdr:pic>
    <xdr:clientData/>
  </xdr:twoCellAnchor>
  <xdr:twoCellAnchor editAs="oneCell">
    <xdr:from>
      <xdr:col>0</xdr:col>
      <xdr:colOff>400050</xdr:colOff>
      <xdr:row>40</xdr:row>
      <xdr:rowOff>133350</xdr:rowOff>
    </xdr:from>
    <xdr:to>
      <xdr:col>11</xdr:col>
      <xdr:colOff>285750</xdr:colOff>
      <xdr:row>48</xdr:row>
      <xdr:rowOff>152400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00050" y="10429875"/>
          <a:ext cx="6696075" cy="1543050"/>
        </a:xfrm>
        <a:prstGeom prst="rect">
          <a:avLst/>
        </a:prstGeom>
        <a:ln>
          <a:noFill/>
        </a:ln>
      </xdr:spPr>
    </xdr:pic>
    <xdr:clientData/>
  </xdr:twoCellAnchor>
  <xdr:twoCellAnchor>
    <xdr:from>
      <xdr:col>1</xdr:col>
      <xdr:colOff>9525</xdr:colOff>
      <xdr:row>22</xdr:row>
      <xdr:rowOff>228600</xdr:rowOff>
    </xdr:from>
    <xdr:to>
      <xdr:col>13</xdr:col>
      <xdr:colOff>276225</xdr:colOff>
      <xdr:row>42</xdr:row>
      <xdr:rowOff>0</xdr:rowOff>
    </xdr:to>
    <xdr:sp macro="" textlink="">
      <xdr:nvSpPr>
        <xdr:cNvPr id="3" name="TextBox 2"/>
        <xdr:cNvSpPr txBox="1"/>
      </xdr:nvSpPr>
      <xdr:spPr>
        <a:xfrm>
          <a:off x="628650" y="6905625"/>
          <a:ext cx="7696200" cy="377190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182880" tIns="182880" rIns="182880" bIns="182880" rtlCol="0" anchor="t"/>
        <a:lstStyle/>
        <a:p>
          <a:r>
            <a:rPr lang="en-AU" sz="1100" b="1"/>
            <a:t>SIGMAH</a:t>
          </a:r>
          <a:r>
            <a:rPr lang="en-AU" sz="1100"/>
            <a:t> (v.1.0)						</a:t>
          </a:r>
          <a:br>
            <a:rPr lang="en-AU" sz="1100"/>
          </a:br>
          <a:r>
            <a:rPr lang="en-AU" sz="1100"/>
            <a:t>SIGMAH was researched and designed and developed</a:t>
          </a:r>
          <a:r>
            <a:rPr lang="en-AU" sz="1100" baseline="0"/>
            <a:t> by:</a:t>
          </a:r>
          <a:endParaRPr lang="en-AU" sz="1100"/>
        </a:p>
        <a:p>
          <a:r>
            <a:rPr lang="en-AU" sz="1100"/>
            <a:t>A/Prof Christian A. Nygaard - Centre for Urban Transitions, Swinburne University of Technology</a:t>
          </a:r>
        </a:p>
        <a:p>
          <a:r>
            <a:rPr lang="en-AU" sz="1100"/>
            <a:t>Dr</a:t>
          </a:r>
          <a:r>
            <a:rPr lang="en-AU" sz="1100" baseline="0"/>
            <a:t> Trevor Kollmann - Centre for Transformative Innovation, Swinburne University of Technology</a:t>
          </a:r>
        </a:p>
        <a:p>
          <a:endParaRPr lang="en-AU" sz="1100" baseline="0"/>
        </a:p>
        <a:p>
          <a:r>
            <a:rPr lang="en-AU" sz="1100" baseline="0"/>
            <a:t>Assistance was provided by:</a:t>
          </a:r>
        </a:p>
        <a:p>
          <a:r>
            <a:rPr lang="en-AU" sz="1100" baseline="0"/>
            <a:t>Dr Stephen Glackin - Centre for Urban Transitions, Swinburne University of Technology</a:t>
          </a:r>
        </a:p>
        <a:p>
          <a:r>
            <a:rPr lang="en-AU" sz="1100" baseline="0"/>
            <a:t>Dr Kate O'Grady - Department of Trade and Engineering Technology, PAVE Division, Swinburne University of Technology</a:t>
          </a:r>
        </a:p>
        <a:p>
          <a:endParaRPr lang="en-AU" sz="1100" baseline="0"/>
        </a:p>
        <a:p>
          <a:pPr algn="l"/>
          <a:r>
            <a:rPr lang="en-AU" sz="1100" baseline="0">
              <a:solidFill>
                <a:schemeClr val="dk1"/>
              </a:solidFill>
              <a:effectLst/>
              <a:latin typeface="+mn-lt"/>
              <a:ea typeface="+mn-ea"/>
              <a:cs typeface="+mn-cs"/>
            </a:rPr>
            <a:t>Data inputs were also provided by:		</a:t>
          </a:r>
        </a:p>
        <a:p>
          <a:pPr algn="l"/>
          <a:r>
            <a:rPr lang="en-AU" sz="1100" baseline="0">
              <a:solidFill>
                <a:schemeClr val="dk1"/>
              </a:solidFill>
              <a:effectLst/>
              <a:latin typeface="+mn-lt"/>
              <a:ea typeface="+mn-ea"/>
              <a:cs typeface="+mn-cs"/>
            </a:rPr>
            <a:t>Australian Social Value Bank			</a:t>
          </a:r>
        </a:p>
        <a:p>
          <a:pPr algn="l"/>
          <a:r>
            <a:rPr lang="en-AU" sz="1100" b="0" i="0" u="none" strike="noStrike">
              <a:solidFill>
                <a:schemeClr val="dk1"/>
              </a:solidFill>
              <a:effectLst/>
              <a:latin typeface="+mn-lt"/>
              <a:ea typeface="+mn-ea"/>
              <a:cs typeface="+mn-cs"/>
            </a:rPr>
            <a:t>they are owned by Alliance Social Enterprises</a:t>
          </a:r>
          <a:r>
            <a:rPr lang="en-AU" sz="1100" b="0" i="0" u="none" strike="noStrike" baseline="0">
              <a:solidFill>
                <a:schemeClr val="dk1"/>
              </a:solidFill>
              <a:effectLst/>
              <a:latin typeface="+mn-lt"/>
              <a:ea typeface="+mn-ea"/>
              <a:cs typeface="+mn-cs"/>
            </a:rPr>
            <a:t> </a:t>
          </a:r>
          <a:r>
            <a:rPr lang="en-AU" sz="1100" b="0" i="0" u="none" strike="noStrike">
              <a:solidFill>
                <a:schemeClr val="dk1"/>
              </a:solidFill>
              <a:effectLst/>
              <a:latin typeface="+mn-lt"/>
              <a:ea typeface="+mn-ea"/>
              <a:cs typeface="+mn-cs"/>
            </a:rPr>
            <a:t>(</a:t>
          </a:r>
          <a:r>
            <a:rPr lang="en-AU" sz="1100" b="0" i="0" u="sng">
              <a:solidFill>
                <a:schemeClr val="dk1"/>
              </a:solidFill>
              <a:effectLst/>
              <a:latin typeface="+mn-lt"/>
              <a:ea typeface="+mn-ea"/>
              <a:cs typeface="+mn-cs"/>
              <a:hlinkClick xmlns:r="http://schemas.openxmlformats.org/officeDocument/2006/relationships" r:id=""/>
            </a:rPr>
            <a:t>www.asvb.com.au</a:t>
          </a:r>
          <a:r>
            <a:rPr lang="en-AU" sz="1100" b="0" i="0" u="none" strike="noStrike">
              <a:solidFill>
                <a:schemeClr val="dk1"/>
              </a:solidFill>
              <a:effectLst/>
              <a:latin typeface="+mn-lt"/>
              <a:ea typeface="+mn-ea"/>
              <a:cs typeface="+mn-cs"/>
            </a:rPr>
            <a:t>) and produced by </a:t>
          </a:r>
          <a:r>
            <a:rPr lang="en-AU" sz="1100" baseline="0">
              <a:solidFill>
                <a:schemeClr val="dk1"/>
              </a:solidFill>
              <a:effectLst/>
              <a:latin typeface="+mn-lt"/>
              <a:ea typeface="+mn-ea"/>
              <a:cs typeface="+mn-cs"/>
            </a:rPr>
            <a:t>Simetrica-Jacobs 		</a:t>
          </a:r>
          <a:endParaRPr lang="en-AU">
            <a:effectLst/>
          </a:endParaRPr>
        </a:p>
        <a:p>
          <a:r>
            <a:rPr lang="en-AU" sz="1100" baseline="0">
              <a:solidFill>
                <a:schemeClr val="dk1"/>
              </a:solidFill>
              <a:effectLst/>
              <a:latin typeface="+mn-lt"/>
              <a:ea typeface="+mn-ea"/>
              <a:cs typeface="+mn-cs"/>
            </a:rPr>
            <a:t>These values are used under license:		</a:t>
          </a:r>
          <a:br>
            <a:rPr lang="en-AU" sz="1100" baseline="0">
              <a:solidFill>
                <a:schemeClr val="dk1"/>
              </a:solidFill>
              <a:effectLst/>
              <a:latin typeface="+mn-lt"/>
              <a:ea typeface="+mn-ea"/>
              <a:cs typeface="+mn-cs"/>
            </a:rPr>
          </a:br>
          <a:r>
            <a:rPr lang="en-AU" sz="1100" b="0" i="0" u="none" strike="noStrike">
              <a:solidFill>
                <a:schemeClr val="dk1"/>
              </a:solidFill>
              <a:effectLst/>
              <a:latin typeface="+mn-lt"/>
              <a:ea typeface="+mn-ea"/>
              <a:cs typeface="+mn-cs"/>
            </a:rPr>
            <a:t>#</a:t>
          </a:r>
          <a:r>
            <a:rPr lang="en-AU" sz="1100" b="1" i="0" u="none" strike="noStrike">
              <a:solidFill>
                <a:schemeClr val="dk1"/>
              </a:solidFill>
              <a:effectLst/>
              <a:latin typeface="+mn-lt"/>
              <a:ea typeface="+mn-ea"/>
              <a:cs typeface="+mn-cs"/>
            </a:rPr>
            <a:t>M8Ved5</a:t>
          </a:r>
          <a:r>
            <a:rPr lang="en-AU" sz="1100" b="0" i="0" u="none" strike="noStrike">
              <a:solidFill>
                <a:schemeClr val="dk1"/>
              </a:solidFill>
              <a:effectLst/>
              <a:latin typeface="+mn-lt"/>
              <a:ea typeface="+mn-ea"/>
              <a:cs typeface="+mn-cs"/>
            </a:rPr>
            <a:t> with expiry date </a:t>
          </a:r>
          <a:r>
            <a:rPr lang="en-AU" sz="1100" b="1" i="0" u="none" strike="noStrike">
              <a:solidFill>
                <a:schemeClr val="dk1"/>
              </a:solidFill>
              <a:effectLst/>
              <a:latin typeface="+mn-lt"/>
              <a:ea typeface="+mn-ea"/>
              <a:cs typeface="+mn-cs"/>
            </a:rPr>
            <a:t>4/10/24</a:t>
          </a:r>
          <a:r>
            <a:rPr lang="en-AU" sz="1100" baseline="0">
              <a:solidFill>
                <a:schemeClr val="dk1"/>
              </a:solidFill>
              <a:effectLst/>
              <a:latin typeface="+mn-lt"/>
              <a:ea typeface="+mn-ea"/>
              <a:cs typeface="+mn-cs"/>
            </a:rPr>
            <a:t>		</a:t>
          </a:r>
          <a:endParaRPr lang="en-AU">
            <a:effectLst/>
          </a:endParaRPr>
        </a:p>
        <a:p>
          <a:endParaRPr lang="en-AU" sz="1100" baseline="0">
            <a:solidFill>
              <a:schemeClr val="dk1"/>
            </a:solidFill>
            <a:effectLst/>
            <a:latin typeface="+mn-lt"/>
            <a:ea typeface="+mn-ea"/>
            <a:cs typeface="+mn-cs"/>
          </a:endParaRPr>
        </a:p>
        <a:p>
          <a:r>
            <a:rPr lang="en-AU" sz="1100" baseline="0">
              <a:solidFill>
                <a:schemeClr val="dk1"/>
              </a:solidFill>
              <a:effectLst/>
              <a:latin typeface="+mn-lt"/>
              <a:ea typeface="+mn-ea"/>
              <a:cs typeface="+mn-cs"/>
            </a:rPr>
            <a:t>To cite this work: Nygaard, C.A. and Kollmann, T. (2023) SIGMAH (NE) - Social Infrastructure and Green Measures for Affordable Housing. Green and Social Benefits Calculator produced for the Community Housing Industry Association. CHIA: Sydney. 						</a:t>
          </a:r>
          <a:endParaRPr lang="en-AU">
            <a:effectLst/>
          </a:endParaRPr>
        </a:p>
      </xdr:txBody>
    </xdr:sp>
    <xdr:clientData/>
  </xdr:twoCellAnchor>
  <xdr:twoCellAnchor editAs="oneCell">
    <xdr:from>
      <xdr:col>0</xdr:col>
      <xdr:colOff>600075</xdr:colOff>
      <xdr:row>1</xdr:row>
      <xdr:rowOff>752475</xdr:rowOff>
    </xdr:from>
    <xdr:to>
      <xdr:col>4</xdr:col>
      <xdr:colOff>257175</xdr:colOff>
      <xdr:row>1</xdr:row>
      <xdr:rowOff>2781300</xdr:rowOff>
    </xdr:to>
    <xdr:pic>
      <xdr:nvPicPr>
        <xdr:cNvPr id="15" name="Picture 14"/>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600075" y="752475"/>
          <a:ext cx="2133600" cy="20288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0</xdr:colOff>
      <xdr:row>0</xdr:row>
      <xdr:rowOff>114300</xdr:rowOff>
    </xdr:from>
    <xdr:to>
      <xdr:col>32</xdr:col>
      <xdr:colOff>352425</xdr:colOff>
      <xdr:row>15</xdr:row>
      <xdr:rowOff>0</xdr:rowOff>
    </xdr:to>
    <xdr:graphicFrame macro="">
      <xdr:nvGraphicFramePr>
        <xdr:cNvPr id="3" name="Chart 2"/>
        <xdr:cNvGraphicFramePr/>
      </xdr:nvGraphicFramePr>
      <xdr:xfrm>
        <a:off x="14525625" y="114300"/>
        <a:ext cx="4419600" cy="2743200"/>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323850</xdr:colOff>
      <xdr:row>0</xdr:row>
      <xdr:rowOff>114300</xdr:rowOff>
    </xdr:from>
    <xdr:to>
      <xdr:col>9</xdr:col>
      <xdr:colOff>0</xdr:colOff>
      <xdr:row>15</xdr:row>
      <xdr:rowOff>0</xdr:rowOff>
    </xdr:to>
    <xdr:graphicFrame macro="">
      <xdr:nvGraphicFramePr>
        <xdr:cNvPr id="4" name="Chart 3"/>
        <xdr:cNvGraphicFramePr/>
      </xdr:nvGraphicFramePr>
      <xdr:xfrm>
        <a:off x="904875" y="114300"/>
        <a:ext cx="4324350" cy="2743200"/>
      </xdr:xfrm>
      <a:graphic>
        <a:graphicData uri="http://schemas.openxmlformats.org/drawingml/2006/chart">
          <c:chart xmlns:c="http://schemas.openxmlformats.org/drawingml/2006/chart" r:id="rId2"/>
        </a:graphicData>
      </a:graphic>
    </xdr:graphicFrame>
    <xdr:clientData/>
  </xdr:twoCellAnchor>
  <xdr:twoCellAnchor editAs="absolute">
    <xdr:from>
      <xdr:col>9</xdr:col>
      <xdr:colOff>209550</xdr:colOff>
      <xdr:row>0</xdr:row>
      <xdr:rowOff>114300</xdr:rowOff>
    </xdr:from>
    <xdr:to>
      <xdr:col>16</xdr:col>
      <xdr:colOff>514350</xdr:colOff>
      <xdr:row>15</xdr:row>
      <xdr:rowOff>0</xdr:rowOff>
    </xdr:to>
    <xdr:graphicFrame macro="">
      <xdr:nvGraphicFramePr>
        <xdr:cNvPr id="5" name="Chart 4"/>
        <xdr:cNvGraphicFramePr/>
      </xdr:nvGraphicFramePr>
      <xdr:xfrm>
        <a:off x="5438775" y="114300"/>
        <a:ext cx="4371975" cy="2743200"/>
      </xdr:xfrm>
      <a:graphic>
        <a:graphicData uri="http://schemas.openxmlformats.org/drawingml/2006/chart">
          <c:chart xmlns:c="http://schemas.openxmlformats.org/drawingml/2006/chart" r:id="rId3"/>
        </a:graphicData>
      </a:graphic>
    </xdr:graphicFrame>
    <xdr:clientData/>
  </xdr:twoCellAnchor>
  <xdr:twoCellAnchor editAs="absolute">
    <xdr:from>
      <xdr:col>17</xdr:col>
      <xdr:colOff>104775</xdr:colOff>
      <xdr:row>0</xdr:row>
      <xdr:rowOff>114300</xdr:rowOff>
    </xdr:from>
    <xdr:to>
      <xdr:col>24</xdr:col>
      <xdr:colOff>409575</xdr:colOff>
      <xdr:row>15</xdr:row>
      <xdr:rowOff>0</xdr:rowOff>
    </xdr:to>
    <xdr:graphicFrame macro="">
      <xdr:nvGraphicFramePr>
        <xdr:cNvPr id="6" name="Chart 5"/>
        <xdr:cNvGraphicFramePr/>
      </xdr:nvGraphicFramePr>
      <xdr:xfrm>
        <a:off x="9982200" y="114300"/>
        <a:ext cx="4371975" cy="2743200"/>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0</xdr:row>
      <xdr:rowOff>123825</xdr:rowOff>
    </xdr:from>
    <xdr:to>
      <xdr:col>1</xdr:col>
      <xdr:colOff>190500</xdr:colOff>
      <xdr:row>14</xdr:row>
      <xdr:rowOff>161925</xdr:rowOff>
    </xdr:to>
    <xdr:sp macro="" textlink="">
      <xdr:nvSpPr>
        <xdr:cNvPr id="2" name="TextBox 1"/>
        <xdr:cNvSpPr txBox="1"/>
      </xdr:nvSpPr>
      <xdr:spPr>
        <a:xfrm rot="16200000">
          <a:off x="180975" y="123825"/>
          <a:ext cx="590550" cy="2705100"/>
        </a:xfrm>
        <a:prstGeom prst="rect">
          <a:avLst/>
        </a:prstGeom>
        <a:solidFill>
          <a:srgbClr val="E9D9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AU" sz="1400"/>
            <a:t>Housing and tenure  benefits</a:t>
          </a:r>
        </a:p>
      </xdr:txBody>
    </xdr:sp>
    <xdr:clientData/>
  </xdr:twoCellAnchor>
  <xdr:twoCellAnchor>
    <xdr:from>
      <xdr:col>0</xdr:col>
      <xdr:colOff>180975</xdr:colOff>
      <xdr:row>16</xdr:row>
      <xdr:rowOff>28575</xdr:rowOff>
    </xdr:from>
    <xdr:to>
      <xdr:col>1</xdr:col>
      <xdr:colOff>190500</xdr:colOff>
      <xdr:row>30</xdr:row>
      <xdr:rowOff>57150</xdr:rowOff>
    </xdr:to>
    <xdr:sp macro="" textlink="">
      <xdr:nvSpPr>
        <xdr:cNvPr id="7" name="TextBox 6"/>
        <xdr:cNvSpPr txBox="1"/>
      </xdr:nvSpPr>
      <xdr:spPr>
        <a:xfrm rot="16200000">
          <a:off x="180975" y="3076575"/>
          <a:ext cx="590550" cy="2695575"/>
        </a:xfrm>
        <a:prstGeom prst="rect">
          <a:avLst/>
        </a:prstGeom>
        <a:solidFill>
          <a:srgbClr val="87FFC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AU" sz="1400"/>
            <a:t>Environmental &amp; local amenity</a:t>
          </a:r>
          <a:r>
            <a:rPr lang="en-AU" sz="1400" baseline="0"/>
            <a:t> benefits</a:t>
          </a:r>
          <a:endParaRPr lang="en-AU" sz="1400"/>
        </a:p>
      </xdr:txBody>
    </xdr:sp>
    <xdr:clientData/>
  </xdr:twoCellAnchor>
  <xdr:twoCellAnchor editAs="absolute">
    <xdr:from>
      <xdr:col>25</xdr:col>
      <xdr:colOff>0</xdr:colOff>
      <xdr:row>16</xdr:row>
      <xdr:rowOff>0</xdr:rowOff>
    </xdr:from>
    <xdr:to>
      <xdr:col>32</xdr:col>
      <xdr:colOff>257175</xdr:colOff>
      <xdr:row>30</xdr:row>
      <xdr:rowOff>76200</xdr:rowOff>
    </xdr:to>
    <xdr:graphicFrame macro="">
      <xdr:nvGraphicFramePr>
        <xdr:cNvPr id="14" name="Chart 13"/>
        <xdr:cNvGraphicFramePr/>
      </xdr:nvGraphicFramePr>
      <xdr:xfrm>
        <a:off x="14525625" y="3048000"/>
        <a:ext cx="4324350" cy="2743200"/>
      </xdr:xfrm>
      <a:graphic>
        <a:graphicData uri="http://schemas.openxmlformats.org/drawingml/2006/chart">
          <c:chart xmlns:c="http://schemas.openxmlformats.org/drawingml/2006/chart" r:id="rId5"/>
        </a:graphicData>
      </a:graphic>
    </xdr:graphicFrame>
    <xdr:clientData/>
  </xdr:twoCellAnchor>
  <xdr:twoCellAnchor>
    <xdr:from>
      <xdr:col>1</xdr:col>
      <xdr:colOff>323850</xdr:colOff>
      <xdr:row>47</xdr:row>
      <xdr:rowOff>152400</xdr:rowOff>
    </xdr:from>
    <xdr:to>
      <xdr:col>8</xdr:col>
      <xdr:colOff>581025</xdr:colOff>
      <xdr:row>62</xdr:row>
      <xdr:rowOff>38100</xdr:rowOff>
    </xdr:to>
    <xdr:graphicFrame macro="">
      <xdr:nvGraphicFramePr>
        <xdr:cNvPr id="22" name="Chart 21"/>
        <xdr:cNvGraphicFramePr/>
      </xdr:nvGraphicFramePr>
      <xdr:xfrm>
        <a:off x="904875" y="9105900"/>
        <a:ext cx="4324350" cy="2743200"/>
      </xdr:xfrm>
      <a:graphic>
        <a:graphicData uri="http://schemas.openxmlformats.org/drawingml/2006/chart">
          <c:chart xmlns:c="http://schemas.openxmlformats.org/drawingml/2006/chart" r:id="rId6"/>
        </a:graphicData>
      </a:graphic>
    </xdr:graphicFrame>
    <xdr:clientData/>
  </xdr:twoCellAnchor>
  <xdr:twoCellAnchor>
    <xdr:from>
      <xdr:col>9</xdr:col>
      <xdr:colOff>190500</xdr:colOff>
      <xdr:row>47</xdr:row>
      <xdr:rowOff>152400</xdr:rowOff>
    </xdr:from>
    <xdr:to>
      <xdr:col>16</xdr:col>
      <xdr:colOff>495300</xdr:colOff>
      <xdr:row>62</xdr:row>
      <xdr:rowOff>38100</xdr:rowOff>
    </xdr:to>
    <xdr:graphicFrame macro="">
      <xdr:nvGraphicFramePr>
        <xdr:cNvPr id="23" name="Chart 22"/>
        <xdr:cNvGraphicFramePr/>
      </xdr:nvGraphicFramePr>
      <xdr:xfrm>
        <a:off x="5419725" y="9105900"/>
        <a:ext cx="4371975" cy="2743200"/>
      </xdr:xfrm>
      <a:graphic>
        <a:graphicData uri="http://schemas.openxmlformats.org/drawingml/2006/chart">
          <c:chart xmlns:c="http://schemas.openxmlformats.org/drawingml/2006/chart" r:id="rId7"/>
        </a:graphicData>
      </a:graphic>
    </xdr:graphicFrame>
    <xdr:clientData/>
  </xdr:twoCellAnchor>
  <xdr:twoCellAnchor>
    <xdr:from>
      <xdr:col>0</xdr:col>
      <xdr:colOff>161925</xdr:colOff>
      <xdr:row>79</xdr:row>
      <xdr:rowOff>190500</xdr:rowOff>
    </xdr:from>
    <xdr:to>
      <xdr:col>1</xdr:col>
      <xdr:colOff>180975</xdr:colOff>
      <xdr:row>94</xdr:row>
      <xdr:rowOff>47625</xdr:rowOff>
    </xdr:to>
    <xdr:sp macro="" textlink="">
      <xdr:nvSpPr>
        <xdr:cNvPr id="24" name="TextBox 23"/>
        <xdr:cNvSpPr txBox="1"/>
      </xdr:nvSpPr>
      <xdr:spPr>
        <a:xfrm rot="16200000">
          <a:off x="161925" y="15240000"/>
          <a:ext cx="600075" cy="2714625"/>
        </a:xfrm>
        <a:prstGeom prst="rect">
          <a:avLst/>
        </a:prstGeom>
        <a:solidFill>
          <a:srgbClr val="52DB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AU" sz="1400">
              <a:solidFill>
                <a:schemeClr val="tx1"/>
              </a:solidFill>
            </a:rPr>
            <a:t>Combinded</a:t>
          </a:r>
          <a:r>
            <a:rPr lang="en-AU" sz="1400" baseline="0">
              <a:solidFill>
                <a:schemeClr val="tx1"/>
              </a:solidFill>
            </a:rPr>
            <a:t> benefits</a:t>
          </a:r>
          <a:endParaRPr lang="en-AU" sz="1400">
            <a:solidFill>
              <a:schemeClr val="tx1"/>
            </a:solidFill>
          </a:endParaRPr>
        </a:p>
      </xdr:txBody>
    </xdr:sp>
    <xdr:clientData/>
  </xdr:twoCellAnchor>
  <xdr:twoCellAnchor>
    <xdr:from>
      <xdr:col>1</xdr:col>
      <xdr:colOff>352425</xdr:colOff>
      <xdr:row>16</xdr:row>
      <xdr:rowOff>0</xdr:rowOff>
    </xdr:from>
    <xdr:to>
      <xdr:col>8</xdr:col>
      <xdr:colOff>581025</xdr:colOff>
      <xdr:row>30</xdr:row>
      <xdr:rowOff>76200</xdr:rowOff>
    </xdr:to>
    <xdr:graphicFrame macro="">
      <xdr:nvGraphicFramePr>
        <xdr:cNvPr id="25" name="Chart 24"/>
        <xdr:cNvGraphicFramePr/>
      </xdr:nvGraphicFramePr>
      <xdr:xfrm>
        <a:off x="933450" y="3048000"/>
        <a:ext cx="4295775" cy="2743200"/>
      </xdr:xfrm>
      <a:graphic>
        <a:graphicData uri="http://schemas.openxmlformats.org/drawingml/2006/chart">
          <c:chart xmlns:c="http://schemas.openxmlformats.org/drawingml/2006/chart" r:id="rId8"/>
        </a:graphicData>
      </a:graphic>
    </xdr:graphicFrame>
    <xdr:clientData/>
  </xdr:twoCellAnchor>
  <xdr:twoCellAnchor>
    <xdr:from>
      <xdr:col>9</xdr:col>
      <xdr:colOff>209550</xdr:colOff>
      <xdr:row>16</xdr:row>
      <xdr:rowOff>0</xdr:rowOff>
    </xdr:from>
    <xdr:to>
      <xdr:col>16</xdr:col>
      <xdr:colOff>542925</xdr:colOff>
      <xdr:row>30</xdr:row>
      <xdr:rowOff>76200</xdr:rowOff>
    </xdr:to>
    <xdr:graphicFrame macro="">
      <xdr:nvGraphicFramePr>
        <xdr:cNvPr id="26" name="Chart 25"/>
        <xdr:cNvGraphicFramePr/>
      </xdr:nvGraphicFramePr>
      <xdr:xfrm>
        <a:off x="5438775" y="3048000"/>
        <a:ext cx="4400550" cy="2743200"/>
      </xdr:xfrm>
      <a:graphic>
        <a:graphicData uri="http://schemas.openxmlformats.org/drawingml/2006/chart">
          <c:chart xmlns:c="http://schemas.openxmlformats.org/drawingml/2006/chart" r:id="rId9"/>
        </a:graphicData>
      </a:graphic>
    </xdr:graphicFrame>
    <xdr:clientData/>
  </xdr:twoCellAnchor>
  <xdr:twoCellAnchor>
    <xdr:from>
      <xdr:col>17</xdr:col>
      <xdr:colOff>57150</xdr:colOff>
      <xdr:row>16</xdr:row>
      <xdr:rowOff>0</xdr:rowOff>
    </xdr:from>
    <xdr:to>
      <xdr:col>24</xdr:col>
      <xdr:colOff>419100</xdr:colOff>
      <xdr:row>30</xdr:row>
      <xdr:rowOff>76200</xdr:rowOff>
    </xdr:to>
    <xdr:graphicFrame macro="">
      <xdr:nvGraphicFramePr>
        <xdr:cNvPr id="27" name="Chart 26"/>
        <xdr:cNvGraphicFramePr/>
      </xdr:nvGraphicFramePr>
      <xdr:xfrm>
        <a:off x="9934575" y="3048000"/>
        <a:ext cx="4429125" cy="2743200"/>
      </xdr:xfrm>
      <a:graphic>
        <a:graphicData uri="http://schemas.openxmlformats.org/drawingml/2006/chart">
          <c:chart xmlns:c="http://schemas.openxmlformats.org/drawingml/2006/chart" r:id="rId10"/>
        </a:graphicData>
      </a:graphic>
    </xdr:graphicFrame>
    <xdr:clientData/>
  </xdr:twoCellAnchor>
  <xdr:twoCellAnchor>
    <xdr:from>
      <xdr:col>1</xdr:col>
      <xdr:colOff>352425</xdr:colOff>
      <xdr:row>80</xdr:row>
      <xdr:rowOff>0</xdr:rowOff>
    </xdr:from>
    <xdr:to>
      <xdr:col>9</xdr:col>
      <xdr:colOff>19050</xdr:colOff>
      <xdr:row>94</xdr:row>
      <xdr:rowOff>76200</xdr:rowOff>
    </xdr:to>
    <xdr:graphicFrame macro="">
      <xdr:nvGraphicFramePr>
        <xdr:cNvPr id="28" name="Chart 27"/>
        <xdr:cNvGraphicFramePr/>
      </xdr:nvGraphicFramePr>
      <xdr:xfrm>
        <a:off x="933450" y="15240000"/>
        <a:ext cx="4314825" cy="2743200"/>
      </xdr:xfrm>
      <a:graphic>
        <a:graphicData uri="http://schemas.openxmlformats.org/drawingml/2006/chart">
          <c:chart xmlns:c="http://schemas.openxmlformats.org/drawingml/2006/chart" r:id="rId11"/>
        </a:graphicData>
      </a:graphic>
    </xdr:graphicFrame>
    <xdr:clientData/>
  </xdr:twoCellAnchor>
  <xdr:twoCellAnchor>
    <xdr:from>
      <xdr:col>9</xdr:col>
      <xdr:colOff>238125</xdr:colOff>
      <xdr:row>80</xdr:row>
      <xdr:rowOff>0</xdr:rowOff>
    </xdr:from>
    <xdr:to>
      <xdr:col>16</xdr:col>
      <xdr:colOff>581025</xdr:colOff>
      <xdr:row>94</xdr:row>
      <xdr:rowOff>76200</xdr:rowOff>
    </xdr:to>
    <xdr:graphicFrame macro="">
      <xdr:nvGraphicFramePr>
        <xdr:cNvPr id="29" name="Chart 28"/>
        <xdr:cNvGraphicFramePr/>
      </xdr:nvGraphicFramePr>
      <xdr:xfrm>
        <a:off x="5467350" y="15240000"/>
        <a:ext cx="4410075" cy="2743200"/>
      </xdr:xfrm>
      <a:graphic>
        <a:graphicData uri="http://schemas.openxmlformats.org/drawingml/2006/chart">
          <c:chart xmlns:c="http://schemas.openxmlformats.org/drawingml/2006/chart" r:id="rId12"/>
        </a:graphicData>
      </a:graphic>
    </xdr:graphicFrame>
    <xdr:clientData/>
  </xdr:twoCellAnchor>
  <xdr:twoCellAnchor>
    <xdr:from>
      <xdr:col>0</xdr:col>
      <xdr:colOff>104775</xdr:colOff>
      <xdr:row>47</xdr:row>
      <xdr:rowOff>123825</xdr:rowOff>
    </xdr:from>
    <xdr:to>
      <xdr:col>1</xdr:col>
      <xdr:colOff>123825</xdr:colOff>
      <xdr:row>62</xdr:row>
      <xdr:rowOff>47625</xdr:rowOff>
    </xdr:to>
    <xdr:sp macro="" textlink="">
      <xdr:nvSpPr>
        <xdr:cNvPr id="31" name="TextBox 30"/>
        <xdr:cNvSpPr txBox="1"/>
      </xdr:nvSpPr>
      <xdr:spPr>
        <a:xfrm rot="16200000">
          <a:off x="104775" y="9077325"/>
          <a:ext cx="600075" cy="2781300"/>
        </a:xfrm>
        <a:prstGeom prst="rect">
          <a:avLst/>
        </a:prstGeom>
        <a:solidFill>
          <a:srgbClr val="B1C7F8"/>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AU" sz="1400">
              <a:solidFill>
                <a:schemeClr val="tx1"/>
              </a:solidFill>
            </a:rPr>
            <a:t>Cost of living relief</a:t>
          </a:r>
        </a:p>
      </xdr:txBody>
    </xdr:sp>
    <xdr:clientData/>
  </xdr:twoCellAnchor>
  <xdr:twoCellAnchor>
    <xdr:from>
      <xdr:col>1</xdr:col>
      <xdr:colOff>352425</xdr:colOff>
      <xdr:row>31</xdr:row>
      <xdr:rowOff>76200</xdr:rowOff>
    </xdr:from>
    <xdr:to>
      <xdr:col>9</xdr:col>
      <xdr:colOff>9525</xdr:colOff>
      <xdr:row>45</xdr:row>
      <xdr:rowOff>152400</xdr:rowOff>
    </xdr:to>
    <xdr:graphicFrame macro="">
      <xdr:nvGraphicFramePr>
        <xdr:cNvPr id="10" name="Chart 9"/>
        <xdr:cNvGraphicFramePr/>
      </xdr:nvGraphicFramePr>
      <xdr:xfrm>
        <a:off x="933450" y="5981700"/>
        <a:ext cx="4305300" cy="2743200"/>
      </xdr:xfrm>
      <a:graphic>
        <a:graphicData uri="http://schemas.openxmlformats.org/drawingml/2006/chart">
          <c:chart xmlns:c="http://schemas.openxmlformats.org/drawingml/2006/chart" r:id="rId1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390525</xdr:rowOff>
    </xdr:from>
    <xdr:to>
      <xdr:col>1</xdr:col>
      <xdr:colOff>1847850</xdr:colOff>
      <xdr:row>0</xdr:row>
      <xdr:rowOff>1885950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57175" y="390525"/>
          <a:ext cx="1809750" cy="1495425"/>
        </a:xfrm>
        <a:prstGeom prst="rect">
          <a:avLst/>
        </a:prstGeom>
        <a:ln>
          <a:noFill/>
        </a:ln>
      </xdr:spPr>
    </xdr:pic>
    <xdr:clientData/>
  </xdr:twoCellAnchor>
</xdr:wsDr>
</file>

<file path=xl/pivotCache/_rels/pivotCacheDefinition1.xml.rels><?xml version="1.0" encoding="utf-8" standalone="yes"?><Relationships xmlns="http://schemas.openxmlformats.org/package/2006/relationships"><Relationship Id="rId2" Type="http://schemas.openxmlformats.org/officeDocument/2006/relationships/externalLinkPath" Target="/Users/tmkol/AppData/Local/Microsoft/Windows/INetCache/Content.Outlook/VY4Z146R/GPSC%20(v.1.0)%20(NO%20LOCK_v3).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i Nygaard" refreshedDate="44701.573838888886" createdVersion="6" refreshedVersion="6" minRefreshableVersion="3" recordCount="40" xr:uid="{00000000-000A-0000-FFFF-FFFF01000000}">
  <cacheSource type="worksheet">
    <worksheetSource ref="A1:I41" sheet="Social and economic benefit sum" r:id="rId2"/>
  </cacheSource>
  <cacheFields count="9">
    <cacheField name="Years" numFmtId="0">
      <sharedItems containsSemiMixedTypes="0" containsString="0" containsNumber="1" containsInteger="1" minValue="1" maxValue="40" count="40">
        <n v="1"/>
        <n v="2"/>
        <n v="3"/>
        <n v="4"/>
        <n v="5"/>
        <n v="6"/>
        <n v="7"/>
        <n v="8"/>
        <n v="9"/>
        <n v="10"/>
        <n v="11"/>
        <n v="12"/>
        <n v="13"/>
        <n v="14"/>
        <n v="15"/>
        <n v="16"/>
        <n v="17"/>
        <n v="18"/>
        <n v="19"/>
        <n v="20"/>
        <n v="21"/>
        <n v="22"/>
        <n v="23"/>
        <n v="24"/>
        <n v="25"/>
        <n v="26"/>
        <n v="27"/>
        <n v="28"/>
        <n v="29"/>
        <n v="30"/>
        <n v="31"/>
        <n v="32"/>
        <n v="33"/>
        <n v="34"/>
        <n v="35"/>
        <n v="36"/>
        <n v="37"/>
        <n v="38"/>
        <n v="39"/>
        <n v="40"/>
      </sharedItems>
    </cacheField>
    <cacheField name="Public cash monetary" numFmtId="1">
      <sharedItems containsSemiMixedTypes="0" containsString="0" containsNumber="1" minValue="65069.005558079996" maxValue="176761.17270400003"/>
    </cacheField>
    <cacheField name="Private cash monetary" numFmtId="1">
      <sharedItems containsSemiMixedTypes="0" containsString="0" containsNumber="1" minValue="66961.076280000008" maxValue="144953.63955350962"/>
    </cacheField>
    <cacheField name="Private wellbeing monetary" numFmtId="1">
      <sharedItems containsSemiMixedTypes="0" containsString="0" containsNumber="1" minValue="16779.059790931202" maxValue="235000.83740800002"/>
    </cacheField>
    <cacheField name="Privtate cash and wellbeing monetary" numFmtId="1">
      <sharedItems containsSemiMixedTypes="0" containsString="0" containsNumber="1" minValue="85079.357596531219" maxValue="301961.91368800006"/>
    </cacheField>
    <cacheField name="Total cash and wellbeing monetary" numFmtId="1">
      <sharedItems containsSemiMixedTypes="0" containsString="0" containsNumber="1" minValue="146900.37919461119" maxValue="475538.78839200002"/>
    </cacheField>
    <cacheField name="Homlessness public sector offset" numFmtId="1">
      <sharedItems containsSemiMixedTypes="0" containsString="0" containsNumber="1" minValue="27599.106304000001" maxValue="59745.020979955618"/>
    </cacheField>
    <cacheField name="Public sector health and DV offset" numFmtId="1">
      <sharedItems containsSemiMixedTypes="0" containsString="0" containsNumber="1" minValue="30220.954128000001" maxValue="142596.41640000002"/>
    </cacheField>
    <cacheField name="Tenant finance" numFmtId="1">
      <sharedItems containsSemiMixedTypes="0" containsString="0" containsNumber="1" minValue="62613.609280000011" maxValue="135542.4831101206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
  <r>
    <x v="0"/>
    <n v="176761.17270400003"/>
    <n v="66961.076280000008"/>
    <n v="235000.83740800002"/>
    <n v="301961.91368800006"/>
    <n v="475538.78839200002"/>
    <n v="27599.106304000001"/>
    <n v="142596.41640000002"/>
    <n v="62613.609280000011"/>
  </r>
  <r>
    <x v="1"/>
    <n v="65069.005558079996"/>
    <n v="68300.297805600014"/>
    <n v="16779.059790931202"/>
    <n v="85079.357596531219"/>
    <n v="146900.37919461119"/>
    <n v="28151.088430079995"/>
    <n v="30220.954128000001"/>
    <n v="63865.881465600018"/>
  </r>
  <r>
    <x v="2"/>
    <n v="66370.385669241601"/>
    <n v="69666.303761712014"/>
    <n v="17114.640986749826"/>
    <n v="86780.944748461843"/>
    <n v="149838.38677850342"/>
    <n v="28714.110198681596"/>
    <n v="30825.373210560003"/>
    <n v="65143.199094912015"/>
  </r>
  <r>
    <x v="3"/>
    <n v="67697.79338262642"/>
    <n v="71059.62983694626"/>
    <n v="17456.933806484823"/>
    <n v="88516.563643431087"/>
    <n v="152835.15451407351"/>
    <n v="29288.392402655227"/>
    <n v="31441.880674771201"/>
    <n v="66446.063076810256"/>
  </r>
  <r>
    <x v="4"/>
    <n v="69051.749250278954"/>
    <n v="72480.822433685185"/>
    <n v="17806.07248261452"/>
    <n v="90286.894916299701"/>
    <n v="155891.857604355"/>
    <n v="29874.160250708333"/>
    <n v="32070.718288266624"/>
    <n v="67774.984338346476"/>
  </r>
  <r>
    <x v="5"/>
    <n v="70432.784235284547"/>
    <n v="73930.438882358882"/>
    <n v="18162.193932266811"/>
    <n v="92092.632814625686"/>
    <n v="159009.6947564421"/>
    <n v="30471.6434557225"/>
    <n v="32712.132654031957"/>
    <n v="69130.484025113386"/>
  </r>
  <r>
    <x v="6"/>
    <n v="71841.43991999024"/>
    <n v="75409.047660006065"/>
    <n v="18525.43781091215"/>
    <n v="93934.485470918211"/>
    <n v="162189.88865157092"/>
    <n v="31081.076324836951"/>
    <n v="33366.37530711259"/>
    <n v="70513.093705615669"/>
  </r>
  <r>
    <x v="7"/>
    <n v="73278.268718390042"/>
    <n v="76917.228613206185"/>
    <n v="18895.946567130388"/>
    <n v="95813.175180336577"/>
    <n v="165433.68642460238"/>
    <n v="31702.697851333694"/>
    <n v="34033.702813254851"/>
    <n v="71923.355579727999"/>
  </r>
  <r>
    <x v="8"/>
    <n v="74743.834092757825"/>
    <n v="78455.573185470304"/>
    <n v="19273.865498473002"/>
    <n v="97729.438683943299"/>
    <n v="168742.36015309437"/>
    <n v="32336.751808360368"/>
    <n v="34714.376869519947"/>
    <n v="73361.822691322537"/>
  </r>
  <r>
    <x v="9"/>
    <n v="76238.710774613006"/>
    <n v="80024.684649179719"/>
    <n v="19659.342808442463"/>
    <n v="99684.027457622185"/>
    <n v="172117.20735615629"/>
    <n v="32983.486844527579"/>
    <n v="35408.664406910342"/>
    <n v="74829.059145148989"/>
  </r>
  <r>
    <x v="10"/>
    <n v="77763.484990105266"/>
    <n v="81625.178342163315"/>
    <n v="20052.529664611309"/>
    <n v="101677.70800677463"/>
    <n v="175559.55150327942"/>
    <n v="33643.156581418123"/>
    <n v="36116.837695048554"/>
    <n v="76325.640328051973"/>
  </r>
  <r>
    <x v="11"/>
    <n v="79318.754689907364"/>
    <n v="83257.681909006598"/>
    <n v="20453.580257903537"/>
    <n v="103711.26216691014"/>
    <n v="179070.74253334501"/>
    <n v="34316.019713046488"/>
    <n v="36839.174448949525"/>
    <n v="77852.153134613021"/>
  </r>
  <r>
    <x v="12"/>
    <n v="80905.129783705517"/>
    <n v="84922.835547186725"/>
    <n v="20862.651863061612"/>
    <n v="105785.48741024834"/>
    <n v="182652.15738401192"/>
    <n v="35002.34010730742"/>
    <n v="37575.957937928521"/>
    <n v="79409.196197305282"/>
  </r>
  <r>
    <x v="13"/>
    <n v="82523.232379379609"/>
    <n v="86621.292258130474"/>
    <n v="21279.904900322843"/>
    <n v="107901.19715845332"/>
    <n v="186305.20053169219"/>
    <n v="35702.386909453562"/>
    <n v="38327.477096687093"/>
    <n v="80997.380121251394"/>
  </r>
  <r>
    <x v="14"/>
    <n v="84173.697026967217"/>
    <n v="88353.718103293068"/>
    <n v="21705.502998329299"/>
    <n v="110059.22110162236"/>
    <n v="190031.30454232599"/>
    <n v="36416.434647642636"/>
    <n v="39094.026638620839"/>
    <n v="82617.327723676412"/>
  </r>
  <r>
    <x v="15"/>
    <n v="85857.170967506565"/>
    <n v="90120.792465358943"/>
    <n v="22139.613058295887"/>
    <n v="112260.40552365483"/>
    <n v="193831.93063317251"/>
    <n v="37144.763340595484"/>
    <n v="39875.90717139325"/>
    <n v="84269.674278149949"/>
  </r>
  <r>
    <x v="16"/>
    <n v="87574.314386856699"/>
    <n v="91923.208314666117"/>
    <n v="22582.405319461806"/>
    <n v="114505.61363412792"/>
    <n v="197708.56924583603"/>
    <n v="37887.6586074074"/>
    <n v="40673.425314821114"/>
    <n v="85955.067763712956"/>
  </r>
  <r>
    <x v="17"/>
    <n v="89325.800674593833"/>
    <n v="93761.672480959431"/>
    <n v="23034.053425851045"/>
    <n v="116795.72590681048"/>
    <n v="201662.74063075267"/>
    <n v="38645.411779555543"/>
    <n v="41486.893821117541"/>
    <n v="87674.169118987207"/>
  </r>
  <r>
    <x v="18"/>
    <n v="91112.316688085717"/>
    <n v="95636.905930578636"/>
    <n v="23494.734494368065"/>
    <n v="119131.6404249467"/>
    <n v="205695.99544336781"/>
    <n v="39418.320015146659"/>
    <n v="42316.631697539888"/>
    <n v="89427.65250136696"/>
  </r>
  <r>
    <x v="19"/>
    <n v="92934.563021847425"/>
    <n v="97549.644049190203"/>
    <n v="23964.629184255427"/>
    <n v="121514.27323344562"/>
    <n v="209809.91535223514"/>
    <n v="40206.686415449585"/>
    <n v="43162.964331490686"/>
    <n v="91216.205551394291"/>
  </r>
  <r>
    <x v="20"/>
    <n v="94793.254282284368"/>
    <n v="99500.63693017402"/>
    <n v="24443.921767940534"/>
    <n v="123944.55869811456"/>
    <n v="214006.11365927986"/>
    <n v="41010.820143758581"/>
    <n v="44026.223618120508"/>
    <n v="93040.529662422181"/>
  </r>
  <r>
    <x v="21"/>
    <n v="96689.119367930049"/>
    <n v="101490.64966877752"/>
    <n v="24932.800203299346"/>
    <n v="126423.44987207686"/>
    <n v="218286.23593246544"/>
    <n v="41831.036546633753"/>
    <n v="44906.748090482914"/>
    <n v="94901.340255670642"/>
  </r>
  <r>
    <x v="22"/>
    <n v="98622.901755288665"/>
    <n v="103520.46266215303"/>
    <n v="25431.456207365332"/>
    <n v="128951.91886951837"/>
    <n v="222651.96065111476"/>
    <n v="42667.657277566432"/>
    <n v="45804.883052292571"/>
    <n v="96799.367060784032"/>
  </r>
  <r>
    <x v="23"/>
    <n v="100595.35979039442"/>
    <n v="105590.87191539611"/>
    <n v="25940.085331512644"/>
    <n v="131530.95724690874"/>
    <n v="227104.99986413709"/>
    <n v="43521.010423117754"/>
    <n v="46720.980713338424"/>
    <n v="98735.354401999721"/>
  </r>
  <r>
    <x v="24"/>
    <n v="102607.26698620233"/>
    <n v="107702.68935370405"/>
    <n v="26458.887038142893"/>
    <n v="134161.57639184693"/>
    <n v="231647.09986141979"/>
    <n v="44391.430631580115"/>
    <n v="47655.400327605188"/>
    <n v="100710.06149003972"/>
  </r>
  <r>
    <x v="25"/>
    <n v="104659.41232592639"/>
    <n v="109856.74314077813"/>
    <n v="26988.064778905751"/>
    <n v="136844.80791968387"/>
    <n v="236280.04185864815"/>
    <n v="45279.259244211717"/>
    <n v="48608.508334157297"/>
    <n v="102724.26271984052"/>
  </r>
  <r>
    <x v="26"/>
    <n v="106752.60057244491"/>
    <n v="112053.87800359368"/>
    <n v="27527.826074483863"/>
    <n v="139581.70407807754"/>
    <n v="241005.64269582118"/>
    <n v="46184.844429095952"/>
    <n v="49580.678500840448"/>
    <n v="104778.74797423733"/>
  </r>
  <r>
    <x v="27"/>
    <n v="108887.6525838938"/>
    <n v="114294.95556366554"/>
    <n v="28078.382595973544"/>
    <n v="142373.3381596391"/>
    <n v="245825.7555497376"/>
    <n v="47108.541317677867"/>
    <n v="50572.292070857256"/>
    <n v="106874.32293372208"/>
  </r>
  <r>
    <x v="28"/>
    <n v="111065.40563557167"/>
    <n v="116580.85467493886"/>
    <n v="28639.950247893015"/>
    <n v="145220.80492283189"/>
    <n v="250742.27066073238"/>
    <n v="48050.712144031437"/>
    <n v="51583.737912274395"/>
    <n v="109011.80939239652"/>
  </r>
  <r>
    <x v="29"/>
    <n v="113286.71374828313"/>
    <n v="118912.47176843765"/>
    <n v="29212.749252850877"/>
    <n v="148125.22102128854"/>
    <n v="255757.11607394702"/>
    <n v="49011.726386912065"/>
    <n v="52615.41267051988"/>
    <n v="111192.04558024445"/>
  </r>
  <r>
    <x v="30"/>
    <n v="115552.44802324878"/>
    <n v="121290.72120380643"/>
    <n v="29797.004237907895"/>
    <n v="151087.72544171434"/>
    <n v="260872.25839542592"/>
    <n v="49991.960914650306"/>
    <n v="53667.720923930283"/>
    <n v="113415.88649184935"/>
  </r>
  <r>
    <x v="31"/>
    <n v="117863.49698371376"/>
    <n v="123716.53562788255"/>
    <n v="30392.944322666051"/>
    <n v="154109.47995054862"/>
    <n v="266089.70356333448"/>
    <n v="50991.800132943317"/>
    <n v="54741.075342408898"/>
    <n v="115684.20422168635"/>
  </r>
  <r>
    <x v="32"/>
    <n v="120220.76692338804"/>
    <n v="126190.86634044017"/>
    <n v="31000.803209119378"/>
    <n v="157191.66954955956"/>
    <n v="271411.49763460114"/>
    <n v="52011.636135602181"/>
    <n v="55835.896849257071"/>
    <n v="117997.88830612006"/>
  </r>
  <r>
    <x v="33"/>
    <n v="122625.18226185579"/>
    <n v="128714.683667249"/>
    <n v="31620.819273301764"/>
    <n v="160335.50294055077"/>
    <n v="276839.72758729325"/>
    <n v="53051.868858314221"/>
    <n v="56952.614786242208"/>
    <n v="120357.84607224245"/>
  </r>
  <r>
    <x v="34"/>
    <n v="125077.68590709293"/>
    <n v="131288.97734059399"/>
    <n v="32253.235658767797"/>
    <n v="163542.2129993618"/>
    <n v="282376.52213903901"/>
    <n v="54112.906235480506"/>
    <n v="58091.667081967062"/>
    <n v="122765.00299368732"/>
  </r>
  <r>
    <x v="35"/>
    <n v="127579.23962523478"/>
    <n v="133914.75688740585"/>
    <n v="32898.300371943158"/>
    <n v="166813.05725934901"/>
    <n v="288024.05258181982"/>
    <n v="55195.164360190123"/>
    <n v="59253.500423606412"/>
    <n v="125220.30305356107"/>
  </r>
  <r>
    <x v="36"/>
    <n v="130130.82441773948"/>
    <n v="136593.05202515397"/>
    <n v="33556.266379382025"/>
    <n v="170149.318404536"/>
    <n v="293784.53363345622"/>
    <n v="56299.067647393924"/>
    <n v="60438.57043207853"/>
    <n v="127724.70911463226"/>
  </r>
  <r>
    <x v="37"/>
    <n v="132733.44090609427"/>
    <n v="139324.91306565705"/>
    <n v="34227.391706969662"/>
    <n v="173552.30477262673"/>
    <n v="299660.22430612537"/>
    <n v="57425.049000341809"/>
    <n v="61647.34184072011"/>
    <n v="130279.20329692493"/>
  </r>
  <r>
    <x v="38"/>
    <n v="135388.10972421619"/>
    <n v="142111.41132697024"/>
    <n v="34911.939541109052"/>
    <n v="177023.35086807929"/>
    <n v="305653.4287922479"/>
    <n v="58573.549980348645"/>
    <n v="62880.28867753451"/>
    <n v="132884.78736286346"/>
  </r>
  <r>
    <x v="39"/>
    <n v="138095.87191870052"/>
    <n v="144953.63955350962"/>
    <n v="35610.178331931238"/>
    <n v="180563.81788544086"/>
    <n v="311766.49736809288"/>
    <n v="59745.020979955618"/>
    <n v="64137.894451085202"/>
    <n v="135542.4831101206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3:I44" firstHeaderRow="0" firstDataRow="1" firstDataCol="1"/>
  <pivotFields count="9">
    <pivotField axis="axisRow"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dataField="1" showAll="0" numFmtId="1"/>
    <pivotField dataField="1" showAll="0" numFmtId="1"/>
    <pivotField dataField="1" showAll="0" numFmtId="1"/>
    <pivotField dataField="1" showAll="0" numFmtId="1"/>
    <pivotField dataField="1" showAll="0" numFmtId="1"/>
    <pivotField dataField="1" showAll="0" numFmtId="1"/>
    <pivotField dataField="1" showAll="0" numFmtId="1"/>
    <pivotField dataField="1" showAll="0" numFmtId="1"/>
  </pivotFields>
  <rowFields count="1">
    <field x="0"/>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t="grand">
      <x/>
    </i>
  </rowItems>
  <colFields count="1">
    <field x="-2"/>
  </colFields>
  <colItems count="8">
    <i>
      <x/>
    </i>
    <i i="1">
      <x v="1"/>
    </i>
    <i i="2">
      <x v="2"/>
    </i>
    <i i="3">
      <x v="3"/>
    </i>
    <i i="4">
      <x v="4"/>
    </i>
    <i i="5">
      <x v="5"/>
    </i>
    <i i="6">
      <x v="6"/>
    </i>
    <i i="7">
      <x v="7"/>
    </i>
  </colItems>
  <dataFields count="8">
    <dataField name="Sum of Public cash monetary" fld="1" baseField="0" baseItem="0"/>
    <dataField name="Sum of Private cash monetary" fld="2" baseField="0" baseItem="0"/>
    <dataField name="Sum of Private wellbeing monetary" fld="3" baseField="0" baseItem="0"/>
    <dataField name="Sum of Privtate cash and wellbeing monetary" fld="4" baseField="0" baseItem="0"/>
    <dataField name="Sum of Total cash and wellbeing monetary" fld="5" baseField="0" baseItem="0"/>
    <dataField name="Sum of Homlessness public sector offset" fld="6" baseField="0" baseItem="0"/>
    <dataField name="Sum of Public sector health and DV offset" fld="7" baseField="0" baseItem="0"/>
    <dataField name="Sum of Tenant finance" fld="8" baseField="0" baseItem="0"/>
  </dataFields>
  <formats count="3">
    <format dxfId="14">
      <pivotArea outline="0" fieldPosition="0" collapsedLevelsAreSubtotals="1"/>
    </format>
    <format dxfId="13">
      <pivotArea outline="0" fieldPosition="0" collapsedLevelsAreSubtotals="1"/>
    </format>
    <format dxfId="12">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NSW" displayName="NSW" ref="AW2:AW39" totalsRowShown="0">
  <autoFilter ref="AW2:AW39"/>
  <tableColumns count="1">
    <tableColumn id="1" name="Table"/>
  </tableColumns>
  <tableStyleInfo name="TableStyleMedium2" showFirstColumn="0" showLastColumn="0" showRowStripes="1" showColumnStripes="0"/>
</table>
</file>

<file path=xl/tables/table10.xml><?xml version="1.0" encoding="utf-8"?>
<table xmlns="http://schemas.openxmlformats.org/spreadsheetml/2006/main" id="10" name="Yes_11" displayName="Yes_11" ref="BO2:BO4" totalsRowShown="0">
  <autoFilter ref="BO2:BO4"/>
  <tableColumns count="1">
    <tableColumn id="1" name="Table"/>
  </tableColumns>
  <tableStyleInfo name="TableStyleMedium2" showFirstColumn="0" showLastColumn="0" showRowStripes="1" showColumnStripes="0"/>
</table>
</file>

<file path=xl/tables/table2.xml><?xml version="1.0" encoding="utf-8"?>
<table xmlns="http://schemas.openxmlformats.org/spreadsheetml/2006/main" id="2" name="Vic" displayName="Vic" ref="AY2:AY24" totalsRowShown="0">
  <autoFilter ref="AY2:AY24"/>
  <tableColumns count="1">
    <tableColumn id="1" name="Table"/>
  </tableColumns>
  <tableStyleInfo name="TableStyleMedium2" showFirstColumn="0" showLastColumn="0" showRowStripes="1" showColumnStripes="0"/>
</table>
</file>

<file path=xl/tables/table3.xml><?xml version="1.0" encoding="utf-8"?>
<table xmlns="http://schemas.openxmlformats.org/spreadsheetml/2006/main" id="3" name="Qld" displayName="Qld" ref="BA2:BA22" totalsRowShown="0">
  <autoFilter ref="BA2:BA22"/>
  <tableColumns count="1">
    <tableColumn id="1" name="Table"/>
  </tableColumns>
  <tableStyleInfo name="TableStyleMedium2" showFirstColumn="0" showLastColumn="0" showRowStripes="1" showColumnStripes="0"/>
</table>
</file>

<file path=xl/tables/table4.xml><?xml version="1.0" encoding="utf-8"?>
<table xmlns="http://schemas.openxmlformats.org/spreadsheetml/2006/main" id="4" name="WA" displayName="WA" ref="BE2:BE13" totalsRowShown="0">
  <autoFilter ref="BE2:BE13"/>
  <tableColumns count="1">
    <tableColumn id="1" name="Table"/>
  </tableColumns>
  <tableStyleInfo name="TableStyleMedium2" showFirstColumn="0" showLastColumn="0" showRowStripes="1" showColumnStripes="0"/>
</table>
</file>

<file path=xl/tables/table5.xml><?xml version="1.0" encoding="utf-8"?>
<table xmlns="http://schemas.openxmlformats.org/spreadsheetml/2006/main" id="5" name="SA" displayName="SA" ref="BC2:BC11" totalsRowShown="0">
  <autoFilter ref="BC2:BC11"/>
  <tableColumns count="1">
    <tableColumn id="1" name="Table"/>
  </tableColumns>
  <tableStyleInfo name="TableStyleMedium2" showFirstColumn="0" showLastColumn="0" showRowStripes="1" showColumnStripes="0"/>
</table>
</file>

<file path=xl/tables/table6.xml><?xml version="1.0" encoding="utf-8"?>
<table xmlns="http://schemas.openxmlformats.org/spreadsheetml/2006/main" id="6" name="Tas" displayName="Tas" ref="BG2:BG8" totalsRowShown="0">
  <autoFilter ref="BG2:BG8"/>
  <tableColumns count="1">
    <tableColumn id="1" name="Table"/>
  </tableColumns>
  <tableStyleInfo name="TableStyleMedium2" showFirstColumn="0" showLastColumn="0" showRowStripes="1" showColumnStripes="0"/>
</table>
</file>

<file path=xl/tables/table7.xml><?xml version="1.0" encoding="utf-8"?>
<table xmlns="http://schemas.openxmlformats.org/spreadsheetml/2006/main" id="7" name="NT" displayName="NT" ref="BI2:BI5" totalsRowShown="0">
  <autoFilter ref="BI2:BI5"/>
  <tableColumns count="1">
    <tableColumn id="1" name="Table"/>
  </tableColumns>
  <tableStyleInfo name="TableStyleMedium2" showFirstColumn="0" showLastColumn="0" showRowStripes="1" showColumnStripes="0"/>
</table>
</file>

<file path=xl/tables/table8.xml><?xml version="1.0" encoding="utf-8"?>
<table xmlns="http://schemas.openxmlformats.org/spreadsheetml/2006/main" id="8" name="ACT" displayName="ACT" ref="BK2:BK4" totalsRowShown="0">
  <autoFilter ref="BK2:BK4"/>
  <tableColumns count="1">
    <tableColumn id="1" name="Table"/>
  </tableColumns>
  <tableStyleInfo name="TableStyleMedium2" showFirstColumn="0" showLastColumn="0" showRowStripes="1" showColumnStripes="0"/>
</table>
</file>

<file path=xl/tables/table9.xml><?xml version="1.0" encoding="utf-8"?>
<table xmlns="http://schemas.openxmlformats.org/spreadsheetml/2006/main" id="9" name="Yes" displayName="Yes" ref="BM2:BM4" totalsRowShown="0">
  <autoFilter ref="BM2:BM4"/>
  <tableColumns count="1">
    <tableColumn id="1" name="Tabl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9.xml.rels><?xml version="1.0" encoding="utf-8" standalone="yes"?><Relationships xmlns="http://schemas.openxmlformats.org/package/2006/relationships"><Relationship Id="rId1" Type="http://schemas.openxmlformats.org/officeDocument/2006/relationships/hyperlink" Target="https://ahd.csiro.au/dashboards/fixtures-and-appliances/air-conditionin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4:P22"/>
  <sheetViews>
    <sheetView tabSelected="1" workbookViewId="0" topLeftCell="A2">
      <selection activeCell="I57" sqref="I57"/>
    </sheetView>
  </sheetViews>
  <sheetFormatPr defaultColWidth="9.28125" defaultRowHeight="15"/>
  <cols>
    <col min="1" max="16384" width="9.28125" style="240" customWidth="1"/>
  </cols>
  <sheetData>
    <row r="1" ht="15" hidden="1"/>
    <row r="2" ht="236.1" customHeight="1"/>
    <row r="4" ht="15">
      <c r="B4" s="240" t="s">
        <v>659</v>
      </c>
    </row>
    <row r="5" ht="15">
      <c r="B5" s="240" t="s">
        <v>692</v>
      </c>
    </row>
    <row r="6" ht="15">
      <c r="B6" s="240" t="s">
        <v>289</v>
      </c>
    </row>
    <row r="8" ht="15">
      <c r="B8" s="240" t="s">
        <v>693</v>
      </c>
    </row>
    <row r="9" ht="15">
      <c r="B9" s="240" t="s">
        <v>627</v>
      </c>
    </row>
    <row r="10" ht="15">
      <c r="B10" s="240" t="s">
        <v>694</v>
      </c>
    </row>
    <row r="12" ht="6" customHeight="1"/>
    <row r="13" ht="2.25" customHeight="1"/>
    <row r="14" ht="15">
      <c r="B14" s="241" t="s">
        <v>290</v>
      </c>
    </row>
    <row r="15" ht="15">
      <c r="B15" s="240" t="s">
        <v>291</v>
      </c>
    </row>
    <row r="17" spans="2:13" ht="15">
      <c r="B17" s="432" t="s">
        <v>292</v>
      </c>
      <c r="C17" s="432"/>
      <c r="D17" s="432"/>
      <c r="E17" s="448" t="s">
        <v>293</v>
      </c>
      <c r="F17" s="240" t="s">
        <v>660</v>
      </c>
      <c r="I17" s="347"/>
      <c r="M17" s="347"/>
    </row>
    <row r="18" spans="2:13" ht="15">
      <c r="B18" s="450" t="s">
        <v>294</v>
      </c>
      <c r="C18" s="450"/>
      <c r="D18" s="450"/>
      <c r="E18" s="449" t="s">
        <v>661</v>
      </c>
      <c r="F18" s="240" t="s">
        <v>662</v>
      </c>
      <c r="K18" s="347"/>
      <c r="M18" s="347"/>
    </row>
    <row r="19" spans="5:9" ht="15">
      <c r="E19" s="424"/>
      <c r="I19" s="347"/>
    </row>
    <row r="21" spans="2:7" ht="15">
      <c r="B21" s="432" t="s">
        <v>295</v>
      </c>
      <c r="C21" s="432"/>
      <c r="D21" s="432"/>
      <c r="E21" s="432"/>
      <c r="F21" s="448" t="s">
        <v>293</v>
      </c>
      <c r="G21" s="240" t="s">
        <v>296</v>
      </c>
    </row>
    <row r="22" ht="27" customHeight="1">
      <c r="P22" s="240" t="s">
        <v>668</v>
      </c>
    </row>
    <row r="23" ht="30" customHeight="1"/>
  </sheetData>
  <sheetProtection algorithmName="SHA-512" hashValue="J6qLyZwpSyBpgaPeCHo77/QvAKDeih8ijc7xdmn4s/Vq6x5ChzGUezylLh/xJyLfPLxUOa9/MPjMNb2C+9DsLg==" saltValue="JSte7FmVEzykPpYMk9GoJw==" spinCount="100000" sheet="1" objects="1" scenarios="1" selectLockedCells="1" selectUnlockedCells="1"/>
  <printOptions/>
  <pageMargins left="0.7" right="0.7" top="0.75" bottom="0.75" header="0.3" footer="0.3"/>
  <pageSetup horizontalDpi="1200" verticalDpi="12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799847602844"/>
  </sheetPr>
  <dimension ref="A1:BO228"/>
  <sheetViews>
    <sheetView zoomScale="90" zoomScaleNormal="90" workbookViewId="0" topLeftCell="A76">
      <selection activeCell="F123" sqref="F123"/>
    </sheetView>
  </sheetViews>
  <sheetFormatPr defaultColWidth="8.7109375" defaultRowHeight="15"/>
  <cols>
    <col min="2" max="2" width="37.00390625" style="0" bestFit="1" customWidth="1"/>
    <col min="6" max="6" width="14.00390625" style="0" customWidth="1"/>
    <col min="19" max="19" width="9.28125" style="117" customWidth="1"/>
    <col min="24" max="24" width="9.28125" style="117" customWidth="1"/>
    <col min="29" max="30" width="11.28125" style="0" customWidth="1"/>
    <col min="49" max="49" width="32.7109375" style="0" bestFit="1" customWidth="1"/>
    <col min="50" max="50" width="3.28125" style="0" customWidth="1"/>
    <col min="51" max="51" width="31.7109375" style="0" bestFit="1" customWidth="1"/>
    <col min="52" max="52" width="3.421875" style="0" customWidth="1"/>
    <col min="53" max="53" width="31.7109375" style="0" bestFit="1" customWidth="1"/>
    <col min="54" max="54" width="3.421875" style="0" customWidth="1"/>
    <col min="55" max="55" width="31.7109375" style="0" customWidth="1"/>
    <col min="56" max="56" width="3.421875" style="0" customWidth="1"/>
    <col min="57" max="57" width="31.7109375" style="0" bestFit="1" customWidth="1"/>
    <col min="58" max="58" width="3.421875" style="0" customWidth="1"/>
    <col min="59" max="59" width="32.00390625" style="0" bestFit="1" customWidth="1"/>
    <col min="60" max="60" width="3.421875" style="0" customWidth="1"/>
    <col min="61" max="61" width="31.28125" style="0" bestFit="1" customWidth="1"/>
    <col min="62" max="62" width="3.421875" style="0" customWidth="1"/>
    <col min="63" max="63" width="32.00390625" style="0" bestFit="1" customWidth="1"/>
  </cols>
  <sheetData>
    <row r="1" spans="1:47" ht="14.25" customHeight="1">
      <c r="A1" s="117" t="s">
        <v>581</v>
      </c>
      <c r="B1" s="117"/>
      <c r="C1" s="117"/>
      <c r="D1" s="117"/>
      <c r="E1" s="117"/>
      <c r="H1" s="474" t="s">
        <v>71</v>
      </c>
      <c r="I1" s="474"/>
      <c r="J1" s="474"/>
      <c r="K1" s="474"/>
      <c r="L1" s="474"/>
      <c r="M1" s="474"/>
      <c r="N1" s="474"/>
      <c r="O1" s="474"/>
      <c r="P1" s="474"/>
      <c r="Q1" s="474"/>
      <c r="R1" s="474"/>
      <c r="S1" s="474" t="s">
        <v>110</v>
      </c>
      <c r="T1" s="474"/>
      <c r="U1" s="474"/>
      <c r="V1" s="474"/>
      <c r="W1" s="474"/>
      <c r="X1" s="474"/>
      <c r="Y1" s="474"/>
      <c r="Z1" s="474"/>
      <c r="AA1" s="474"/>
      <c r="AB1" s="256"/>
      <c r="AE1" s="256"/>
      <c r="AF1" s="256"/>
      <c r="AG1" s="256"/>
      <c r="AH1" s="475" t="s">
        <v>470</v>
      </c>
      <c r="AI1" s="475"/>
      <c r="AJ1" s="475" t="s">
        <v>472</v>
      </c>
      <c r="AK1" s="475"/>
      <c r="AL1" s="475"/>
      <c r="AM1" s="475"/>
      <c r="AN1" s="475" t="s">
        <v>477</v>
      </c>
      <c r="AO1" s="475"/>
      <c r="AP1" s="475"/>
      <c r="AQ1" s="475"/>
      <c r="AR1" s="475" t="s">
        <v>479</v>
      </c>
      <c r="AS1" s="475"/>
      <c r="AT1" s="475"/>
      <c r="AU1" s="475"/>
    </row>
    <row r="2" spans="1:67" ht="15">
      <c r="A2" t="s">
        <v>297</v>
      </c>
      <c r="B2" t="s">
        <v>582</v>
      </c>
      <c r="C2" t="s">
        <v>298</v>
      </c>
      <c r="D2" t="s">
        <v>299</v>
      </c>
      <c r="E2" t="s">
        <v>300</v>
      </c>
      <c r="F2" t="s">
        <v>90</v>
      </c>
      <c r="G2" t="s">
        <v>12</v>
      </c>
      <c r="H2" s="474" t="s">
        <v>136</v>
      </c>
      <c r="I2" s="474"/>
      <c r="J2" s="474"/>
      <c r="K2" s="474"/>
      <c r="L2" s="474"/>
      <c r="M2" s="474"/>
      <c r="N2" s="474" t="s">
        <v>176</v>
      </c>
      <c r="O2" s="474"/>
      <c r="P2" s="474"/>
      <c r="Q2" s="474"/>
      <c r="R2" s="474"/>
      <c r="S2" s="474" t="s">
        <v>225</v>
      </c>
      <c r="T2" s="474"/>
      <c r="U2" s="474"/>
      <c r="V2" s="474"/>
      <c r="W2" s="474"/>
      <c r="X2" s="474" t="s">
        <v>411</v>
      </c>
      <c r="Y2" s="474"/>
      <c r="Z2" s="474"/>
      <c r="AA2" s="474"/>
      <c r="AB2" s="474"/>
      <c r="AC2" t="s">
        <v>427</v>
      </c>
      <c r="AD2" t="s">
        <v>12</v>
      </c>
      <c r="AE2" s="474" t="s">
        <v>466</v>
      </c>
      <c r="AF2" s="474"/>
      <c r="AG2" s="474"/>
      <c r="AH2" s="475"/>
      <c r="AI2" s="475"/>
      <c r="AJ2" s="475"/>
      <c r="AK2" s="475"/>
      <c r="AL2" s="475"/>
      <c r="AM2" s="475"/>
      <c r="AN2" s="475"/>
      <c r="AO2" s="475"/>
      <c r="AP2" s="475"/>
      <c r="AQ2" s="475"/>
      <c r="AR2" s="475"/>
      <c r="AS2" s="475"/>
      <c r="AT2" s="475"/>
      <c r="AU2" s="475"/>
      <c r="AW2" t="s">
        <v>405</v>
      </c>
      <c r="AY2" t="s">
        <v>405</v>
      </c>
      <c r="BA2" t="s">
        <v>405</v>
      </c>
      <c r="BC2" t="s">
        <v>405</v>
      </c>
      <c r="BE2" t="s">
        <v>405</v>
      </c>
      <c r="BG2" t="s">
        <v>405</v>
      </c>
      <c r="BI2" t="s">
        <v>405</v>
      </c>
      <c r="BK2" t="s">
        <v>405</v>
      </c>
      <c r="BM2" t="s">
        <v>405</v>
      </c>
      <c r="BO2" t="s">
        <v>405</v>
      </c>
    </row>
    <row r="3" spans="8:65" ht="15">
      <c r="H3" t="s">
        <v>6</v>
      </c>
      <c r="I3" t="s">
        <v>7</v>
      </c>
      <c r="J3" t="s">
        <v>8</v>
      </c>
      <c r="K3" t="s">
        <v>9</v>
      </c>
      <c r="L3" t="s">
        <v>11</v>
      </c>
      <c r="M3" t="s">
        <v>175</v>
      </c>
      <c r="N3" t="s">
        <v>10</v>
      </c>
      <c r="O3" t="s">
        <v>6</v>
      </c>
      <c r="P3" t="s">
        <v>7</v>
      </c>
      <c r="Q3" t="s">
        <v>8</v>
      </c>
      <c r="R3" t="s">
        <v>9</v>
      </c>
      <c r="S3" s="117" t="s">
        <v>412</v>
      </c>
      <c r="T3" t="s">
        <v>7</v>
      </c>
      <c r="U3" t="s">
        <v>8</v>
      </c>
      <c r="V3" t="s">
        <v>9</v>
      </c>
      <c r="W3" t="s">
        <v>11</v>
      </c>
      <c r="X3" s="117" t="s">
        <v>412</v>
      </c>
      <c r="Y3" t="s">
        <v>7</v>
      </c>
      <c r="Z3" t="s">
        <v>8</v>
      </c>
      <c r="AA3" t="s">
        <v>9</v>
      </c>
      <c r="AB3" t="s">
        <v>11</v>
      </c>
      <c r="AE3" t="s">
        <v>467</v>
      </c>
      <c r="AF3" t="s">
        <v>468</v>
      </c>
      <c r="AG3" t="s">
        <v>469</v>
      </c>
      <c r="AH3" t="s">
        <v>471</v>
      </c>
      <c r="AI3" t="s">
        <v>274</v>
      </c>
      <c r="AJ3" t="s">
        <v>473</v>
      </c>
      <c r="AK3" t="s">
        <v>474</v>
      </c>
      <c r="AL3" t="s">
        <v>475</v>
      </c>
      <c r="AM3" t="s">
        <v>476</v>
      </c>
      <c r="AN3" t="s">
        <v>430</v>
      </c>
      <c r="AO3" t="s">
        <v>431</v>
      </c>
      <c r="AP3" t="s">
        <v>478</v>
      </c>
      <c r="AQ3" t="s">
        <v>24</v>
      </c>
      <c r="AR3" t="s">
        <v>430</v>
      </c>
      <c r="AS3" t="s">
        <v>431</v>
      </c>
      <c r="AT3" t="s">
        <v>478</v>
      </c>
      <c r="AU3" t="s">
        <v>24</v>
      </c>
      <c r="AW3" t="s">
        <v>301</v>
      </c>
      <c r="AY3" t="s">
        <v>335</v>
      </c>
      <c r="BA3" t="s">
        <v>353</v>
      </c>
      <c r="BC3" t="s">
        <v>370</v>
      </c>
      <c r="BE3" t="s">
        <v>379</v>
      </c>
      <c r="BG3" t="s">
        <v>390</v>
      </c>
      <c r="BI3" t="s">
        <v>394</v>
      </c>
      <c r="BK3" t="s">
        <v>397</v>
      </c>
      <c r="BM3" t="s">
        <v>157</v>
      </c>
    </row>
    <row r="4" spans="1:65" ht="15">
      <c r="A4">
        <v>1000</v>
      </c>
      <c r="B4" t="s">
        <v>301</v>
      </c>
      <c r="C4">
        <v>786334.680799999</v>
      </c>
      <c r="D4">
        <v>1022386</v>
      </c>
      <c r="E4">
        <v>1.3001919220450098</v>
      </c>
      <c r="F4" t="s">
        <v>173</v>
      </c>
      <c r="G4" t="s">
        <v>164</v>
      </c>
      <c r="H4">
        <f>VLOOKUP(CONCATENATE($G4,"-",$F4,"-",$H$2),'Look-ups'!$O$3:$S$34,5,FALSE)*VLOOKUP(CONCATENATE($F4,"-",$H$2,"-",H$3),'Look-ups'!$I$3:$M$24,5,FALSE)</f>
        <v>312.66666666666663</v>
      </c>
      <c r="I4">
        <f>VLOOKUP(CONCATENATE($G4,"-",$F4,"-",$H$2),'Look-ups'!$O$3:$S$34,5,FALSE)*VLOOKUP(CONCATENATE($F4,"-",$H$2,"-",I$3),'Look-ups'!$I$3:$M$24,5,FALSE)</f>
        <v>469</v>
      </c>
      <c r="J4">
        <f>VLOOKUP(CONCATENATE($G4,"-",$F4,"-",$H$2),'Look-ups'!$O$3:$S$34,5,FALSE)*VLOOKUP(CONCATENATE($F4,"-",$H$2,"-",J$3),'Look-ups'!$I$3:$M$24,5,FALSE)</f>
        <v>547.1666666666667</v>
      </c>
      <c r="K4">
        <f>VLOOKUP(CONCATENATE($G4,"-",$F4,"-",$H$2),'Look-ups'!$O$3:$S$34,5,FALSE)*VLOOKUP(CONCATENATE($F4,"-",$H$2,"-",K$3),'Look-ups'!$I$3:$M$24,5,FALSE)</f>
        <v>703.5</v>
      </c>
      <c r="L4">
        <f>VLOOKUP(CONCATENATE($G4,"-",$F4,"-",$H$2),'Look-ups'!$O$3:$S$34,5,FALSE)*VLOOKUP(CONCATENATE($F4,"-",$H$2,"-",L$3),'Look-ups'!$I$3:$M$24,5,FALSE)</f>
        <v>781.6666666666667</v>
      </c>
      <c r="M4">
        <f>VLOOKUP(CONCATENATE($G4,"-",$F4,"-",$H$2),'Look-ups'!$O$3:$S$34,5,FALSE)*VLOOKUP(CONCATENATE($F4,"-",$H$2,"-",M$3),'Look-ups'!$I$3:$M$24,5,FALSE)</f>
        <v>859.8333333333333</v>
      </c>
      <c r="N4">
        <f>VLOOKUP(CONCATENATE($G4,"-",$F4,"-",$N$2),'Look-ups'!$O$3:$S$34,5,FALSE)*VLOOKUP(CONCATENATE($F4,"-",$N$2,"-",N$3),'Look-ups'!$I$3:$M$24,5,FALSE)</f>
        <v>312</v>
      </c>
      <c r="O4">
        <f>VLOOKUP(CONCATENATE($G4,"-",$F4,"-",$N$2),'Look-ups'!$O$3:$S$34,5,FALSE)*VLOOKUP(CONCATENATE($F4,"-",$N$2,"-",O$3),'Look-ups'!$I$3:$M$24,5,FALSE)</f>
        <v>312</v>
      </c>
      <c r="P4">
        <f>VLOOKUP(CONCATENATE($G4,"-",$F4,"-",$N$2),'Look-ups'!$O$3:$S$34,5,FALSE)*VLOOKUP(CONCATENATE($F4,"-",$N$2,"-",P$3),'Look-ups'!$I$3:$M$24,5,FALSE)</f>
        <v>416</v>
      </c>
      <c r="Q4">
        <f>VLOOKUP(CONCATENATE($G4,"-",$F4,"-",$N$2),'Look-ups'!$O$3:$S$34,5,FALSE)*VLOOKUP(CONCATENATE($F4,"-",$N$2,"-",Q$3),'Look-ups'!$I$3:$M$24,5,FALSE)</f>
        <v>534.8571428571429</v>
      </c>
      <c r="R4">
        <f>VLOOKUP(CONCATENATE($G4,"-",$F4,"-",$N$2),'Look-ups'!$O$3:$S$34,5,FALSE)*VLOOKUP(CONCATENATE($F4,"-",$N$2,"-",R$3),'Look-ups'!$I$3:$M$24,5,FALSE)</f>
        <v>609.1428571428571</v>
      </c>
      <c r="S4" s="117">
        <f>VLOOKUP(CONCATENATE($G4,"-",$F4,"-Lone Person"),'Look-ups'!$Y$4:$AG$35,5,FALSE)</f>
        <v>106</v>
      </c>
      <c r="T4">
        <f>VLOOKUP(CONCATENATE($G4,"-",$F4,"-Lone Person"),'Look-ups'!$Y$4:$AG$35,6,FALSE)</f>
        <v>151.58</v>
      </c>
      <c r="U4">
        <f>VLOOKUP(CONCATENATE($G4,"-",$F4,"-Lone Person"),'Look-ups'!$Y$4:$AG$35,7,FALSE)</f>
        <v>181.26000000000002</v>
      </c>
      <c r="V4">
        <f>VLOOKUP(CONCATENATE($G4,"-",$F4,"-Lone Person"),'Look-ups'!$Y$4:$AG$35,8,FALSE)</f>
        <v>221.54000000000002</v>
      </c>
      <c r="W4">
        <f>VLOOKUP(CONCATENATE($G4,"-",$F4,"-Lone Person"),'Look-ups'!$Y$4:$AG$35,9,FALSE)</f>
        <v>210.94</v>
      </c>
      <c r="X4" s="117">
        <f>VLOOKUP(CONCATENATE($G4,"-",$F4,"-Couple Only"),'Look-ups'!$Y$4:$AG$35,5,FALSE)</f>
        <v>171.72</v>
      </c>
      <c r="Y4">
        <f>VLOOKUP(CONCATENATE($G4,"-",$F4,"-Couple Only"),'Look-ups'!$Y$4:$AG$35,6,FALSE)</f>
        <v>162.18</v>
      </c>
      <c r="Z4">
        <f>VLOOKUP(CONCATENATE($G4,"-",$F4,"-Couple Only"),'Look-ups'!$Y$4:$AG$35,7,FALSE)</f>
        <v>183.38</v>
      </c>
      <c r="AA4">
        <f>VLOOKUP(CONCATENATE($G4,"-",$F4,"-Couple Only"),'Look-ups'!$Y$4:$AG$35,8,FALSE)</f>
        <v>202.46</v>
      </c>
      <c r="AB4">
        <f>VLOOKUP(CONCATENATE($G4,"-",$F4,"-Couple Only"),'Look-ups'!$Y$4:$AG$35,9,FALSE)</f>
        <v>254.4</v>
      </c>
      <c r="AC4">
        <v>18</v>
      </c>
      <c r="AD4" t="s">
        <v>164</v>
      </c>
      <c r="AE4" s="260">
        <f>VLOOKUP($AD4,'Look-ups'!$A$122:$G$130,5,FALSE)</f>
        <v>0.09143686502177067</v>
      </c>
      <c r="AF4" s="260">
        <f>VLOOKUP($AD4,'Look-ups'!$A$122:$G$130,6,FALSE)</f>
        <v>0.2815674891146589</v>
      </c>
      <c r="AG4" s="260">
        <f>VLOOKUP($AD4,'Look-ups'!$A$122:$G$130,7,FALSE)</f>
        <v>0.6269956458635704</v>
      </c>
      <c r="AH4" s="264">
        <f>VLOOKUP($AC4,'Look-ups'!$A$50:$AO$118,'Look-ups'!$B$133*4,FALSE)*0.277778</f>
        <v>33.38164755508251</v>
      </c>
      <c r="AI4" s="264">
        <f>VLOOKUP($AC4,'Look-ups'!$A$50:$AO$118,'Look-ups'!$B$133*4+1,FALSE)*0.277778</f>
        <v>20.785062444917497</v>
      </c>
      <c r="AJ4" s="264">
        <f>AE4*$AH4/'Look-ups'!$B$141</f>
        <v>3.9899518976449686</v>
      </c>
      <c r="AK4" s="264">
        <f>AF4*$AH4/'Look-ups'!$B$140</f>
        <v>12.875598198075444</v>
      </c>
      <c r="AL4" s="264">
        <f>AG4*$AH4/'Look-ups'!$B$137</f>
        <v>3.9866947940550537</v>
      </c>
      <c r="AM4" s="264">
        <f>AI4/'Look-ups'!$B$136</f>
        <v>4.375802619982631</v>
      </c>
      <c r="AN4" s="263">
        <f>AJ4*VLOOKUP($AD4,'Look-ups'!$A$123:$M$130,10,FALSE)</f>
        <v>1.0828286122219817</v>
      </c>
      <c r="AO4" s="263">
        <f>AK4*VLOOKUP($AD4,'Look-ups'!$A$123:$M$130,9,FALSE)</f>
        <v>1.9859580172675528</v>
      </c>
      <c r="AP4" s="263">
        <f>(AL4+AM4)*VLOOKUP($AD4,'Look-ups'!$A$123:$M$130,8,FALSE)</f>
        <v>2.3790106518307863</v>
      </c>
      <c r="AQ4" s="263">
        <f>SUM(AN4:AP4)</f>
        <v>5.447797281320321</v>
      </c>
      <c r="AR4" s="265">
        <f>AJ4*VLOOKUP($AD4,'Look-ups'!$A$123:$M$130,11,FALSE)</f>
        <v>0.01723707483592167</v>
      </c>
      <c r="AS4" s="265">
        <f>AK4*VLOOKUP($AD4,'Look-ups'!$A$123:$M$130,12,FALSE)</f>
        <v>2.388593351142412</v>
      </c>
      <c r="AT4" s="265">
        <f>(AL4+AM4)*VLOOKUP($AD4,'Look-ups'!$A$123:$M$130,13,FALSE)</f>
        <v>2.1525068343733</v>
      </c>
      <c r="AU4" s="265">
        <f>SUM(AR4:AT4)</f>
        <v>4.5583372603516334</v>
      </c>
      <c r="AW4" t="s">
        <v>302</v>
      </c>
      <c r="AY4" t="s">
        <v>336</v>
      </c>
      <c r="BA4" t="s">
        <v>588</v>
      </c>
      <c r="BC4" t="s">
        <v>371</v>
      </c>
      <c r="BE4" t="s">
        <v>380</v>
      </c>
      <c r="BG4" t="s">
        <v>590</v>
      </c>
      <c r="BI4" t="s">
        <v>395</v>
      </c>
      <c r="BK4" t="s">
        <v>398</v>
      </c>
      <c r="BM4" t="s">
        <v>156</v>
      </c>
    </row>
    <row r="5" spans="1:61" ht="15">
      <c r="A5">
        <v>1001</v>
      </c>
      <c r="B5" t="s">
        <v>302</v>
      </c>
      <c r="C5">
        <v>628.2525</v>
      </c>
      <c r="D5">
        <v>97793</v>
      </c>
      <c r="E5">
        <v>155.65875185534478</v>
      </c>
      <c r="F5" t="s">
        <v>173</v>
      </c>
      <c r="G5" t="s">
        <v>164</v>
      </c>
      <c r="H5">
        <f>VLOOKUP(CONCATENATE($G5,"-",$F5,"-",$H$2),'Look-ups'!$O$3:$S$34,5,FALSE)*VLOOKUP(CONCATENATE($F5,"-",$H$2,"-",H$3),'Look-ups'!$I$3:$M$24,5,FALSE)</f>
        <v>312.66666666666663</v>
      </c>
      <c r="I5">
        <f>VLOOKUP(CONCATENATE($G5,"-",$F5,"-",$H$2),'Look-ups'!$O$3:$S$34,5,FALSE)*VLOOKUP(CONCATENATE($F5,"-",$H$2,"-",I$3),'Look-ups'!$I$3:$M$24,5,FALSE)</f>
        <v>469</v>
      </c>
      <c r="J5">
        <f>VLOOKUP(CONCATENATE($G5,"-",$F5,"-",$H$2),'Look-ups'!$O$3:$S$34,5,FALSE)*VLOOKUP(CONCATENATE($F5,"-",$H$2,"-",J$3),'Look-ups'!$I$3:$M$24,5,FALSE)</f>
        <v>547.1666666666667</v>
      </c>
      <c r="K5">
        <f>VLOOKUP(CONCATENATE($G5,"-",$F5,"-",$H$2),'Look-ups'!$O$3:$S$34,5,FALSE)*VLOOKUP(CONCATENATE($F5,"-",$H$2,"-",K$3),'Look-ups'!$I$3:$M$24,5,FALSE)</f>
        <v>703.5</v>
      </c>
      <c r="L5">
        <f>VLOOKUP(CONCATENATE($G5,"-",$F5,"-",$H$2),'Look-ups'!$O$3:$S$34,5,FALSE)*VLOOKUP(CONCATENATE($F5,"-",$H$2,"-",L$3),'Look-ups'!$I$3:$M$24,5,FALSE)</f>
        <v>781.6666666666667</v>
      </c>
      <c r="M5">
        <f>VLOOKUP(CONCATENATE($G5,"-",$F5,"-",$H$2),'Look-ups'!$O$3:$S$34,5,FALSE)*VLOOKUP(CONCATENATE($F5,"-",$H$2,"-",M$3),'Look-ups'!$I$3:$M$24,5,FALSE)</f>
        <v>859.8333333333333</v>
      </c>
      <c r="N5">
        <f>VLOOKUP(CONCATENATE($G5,"-",$F5,"-",$N$2),'Look-ups'!$O$3:$S$34,5,FALSE)*VLOOKUP(CONCATENATE($F5,"-",$N$2,"-",N$3),'Look-ups'!$I$3:$M$24,5,FALSE)</f>
        <v>312</v>
      </c>
      <c r="O5">
        <f>VLOOKUP(CONCATENATE($G5,"-",$F5,"-",$N$2),'Look-ups'!$O$3:$S$34,5,FALSE)*VLOOKUP(CONCATENATE($F5,"-",$N$2,"-",O$3),'Look-ups'!$I$3:$M$24,5,FALSE)</f>
        <v>312</v>
      </c>
      <c r="P5">
        <f>VLOOKUP(CONCATENATE($G5,"-",$F5,"-",$N$2),'Look-ups'!$O$3:$S$34,5,FALSE)*VLOOKUP(CONCATENATE($F5,"-",$N$2,"-",P$3),'Look-ups'!$I$3:$M$24,5,FALSE)</f>
        <v>416</v>
      </c>
      <c r="Q5">
        <f>VLOOKUP(CONCATENATE($G5,"-",$F5,"-",$N$2),'Look-ups'!$O$3:$S$34,5,FALSE)*VLOOKUP(CONCATENATE($F5,"-",$N$2,"-",Q$3),'Look-ups'!$I$3:$M$24,5,FALSE)</f>
        <v>534.8571428571429</v>
      </c>
      <c r="R5">
        <f>VLOOKUP(CONCATENATE($G5,"-",$F5,"-",$N$2),'Look-ups'!$O$3:$S$34,5,FALSE)*VLOOKUP(CONCATENATE($F5,"-",$N$2,"-",R$3),'Look-ups'!$I$3:$M$24,5,FALSE)</f>
        <v>609.1428571428571</v>
      </c>
      <c r="S5" s="117">
        <f>VLOOKUP(CONCATENATE($G5,"-",$F5,"-Lone Person"),'Look-ups'!$Y$4:$AG$35,5,FALSE)</f>
        <v>106</v>
      </c>
      <c r="T5">
        <f>VLOOKUP(CONCATENATE($G5,"-",$F5,"-Lone Person"),'Look-ups'!$Y$4:$AG$35,6,FALSE)</f>
        <v>151.58</v>
      </c>
      <c r="U5">
        <f>VLOOKUP(CONCATENATE($G5,"-",$F5,"-Lone Person"),'Look-ups'!$Y$4:$AG$35,7,FALSE)</f>
        <v>181.26000000000002</v>
      </c>
      <c r="V5">
        <f>VLOOKUP(CONCATENATE($G5,"-",$F5,"-Lone Person"),'Look-ups'!$Y$4:$AG$35,8,FALSE)</f>
        <v>221.54000000000002</v>
      </c>
      <c r="W5">
        <f>VLOOKUP(CONCATENATE($G5,"-",$F5,"-Lone Person"),'Look-ups'!$Y$4:$AG$35,9,FALSE)</f>
        <v>210.94</v>
      </c>
      <c r="X5" s="117">
        <f>VLOOKUP(CONCATENATE($G5,"-",$F5,"-Couple Only"),'Look-ups'!$Y$4:$AG$35,5,FALSE)</f>
        <v>171.72</v>
      </c>
      <c r="Y5">
        <f>VLOOKUP(CONCATENATE($G5,"-",$F5,"-Couple Only"),'Look-ups'!$Y$4:$AG$35,6,FALSE)</f>
        <v>162.18</v>
      </c>
      <c r="Z5">
        <f>VLOOKUP(CONCATENATE($G5,"-",$F5,"-Couple Only"),'Look-ups'!$Y$4:$AG$35,7,FALSE)</f>
        <v>183.38</v>
      </c>
      <c r="AA5">
        <f>VLOOKUP(CONCATENATE($G5,"-",$F5,"-Couple Only"),'Look-ups'!$Y$4:$AG$35,8,FALSE)</f>
        <v>202.46</v>
      </c>
      <c r="AB5">
        <f>VLOOKUP(CONCATENATE($G5,"-",$F5,"-Couple Only"),'Look-ups'!$Y$4:$AG$35,9,FALSE)</f>
        <v>254.4</v>
      </c>
      <c r="AC5">
        <v>20</v>
      </c>
      <c r="AD5" t="s">
        <v>164</v>
      </c>
      <c r="AE5" s="260">
        <f>VLOOKUP($AD5,'Look-ups'!$A$122:$G$130,5,FALSE)</f>
        <v>0.09143686502177067</v>
      </c>
      <c r="AF5" s="260">
        <f>VLOOKUP($AD5,'Look-ups'!$A$122:$G$130,6,FALSE)</f>
        <v>0.2815674891146589</v>
      </c>
      <c r="AG5" s="260">
        <f>VLOOKUP($AD5,'Look-ups'!$A$122:$G$130,7,FALSE)</f>
        <v>0.6269956458635704</v>
      </c>
      <c r="AH5" s="264">
        <f>VLOOKUP($AC5,'Look-ups'!$A$50:$AO$118,'Look-ups'!$B$133*4,FALSE)*0.277778</f>
        <v>64.30145709159765</v>
      </c>
      <c r="AI5" s="264">
        <f>VLOOKUP($AC5,'Look-ups'!$A$50:$AO$118,'Look-ups'!$B$133*4+1,FALSE)*0.277778</f>
        <v>27.643060908402347</v>
      </c>
      <c r="AJ5" s="264">
        <f>AE5*$AH5/'Look-ups'!$B$141</f>
        <v>7.685651833709274</v>
      </c>
      <c r="AK5" s="264">
        <f>AF5*$AH5/'Look-ups'!$B$140</f>
        <v>24.801643588623467</v>
      </c>
      <c r="AL5" s="264">
        <f>AG5*$AH5/'Look-ups'!$B$137</f>
        <v>7.679377832212367</v>
      </c>
      <c r="AM5" s="264">
        <f>AI5/'Look-ups'!$B$136</f>
        <v>5.819591770189968</v>
      </c>
      <c r="AN5" s="263">
        <f>AJ5*VLOOKUP($AD5,'Look-ups'!$A$123:$M$130,10,FALSE)</f>
        <v>2.085800511537211</v>
      </c>
      <c r="AO5" s="263">
        <f>AK5*VLOOKUP($AD5,'Look-ups'!$A$123:$M$130,9,FALSE)</f>
        <v>3.825455110396461</v>
      </c>
      <c r="AP5" s="263">
        <f>(AL5+AM5)*VLOOKUP($AD5,'Look-ups'!$A$123:$M$130,8,FALSE)</f>
        <v>3.840263366652496</v>
      </c>
      <c r="AQ5" s="263">
        <f aca="true" t="shared" si="0" ref="AQ5:AQ68">SUM(AN5:AP5)</f>
        <v>9.751518988586168</v>
      </c>
      <c r="AR5" s="265">
        <f>AJ5*VLOOKUP($AD5,'Look-ups'!$A$123:$M$130,11,FALSE)</f>
        <v>0.033202945604100975</v>
      </c>
      <c r="AS5" s="265">
        <f>AK5*VLOOKUP($AD5,'Look-ups'!$A$123:$M$130,12,FALSE)</f>
        <v>4.601032127737939</v>
      </c>
      <c r="AT5" s="265">
        <f>(AL5+AM5)*VLOOKUP($AD5,'Look-ups'!$A$123:$M$130,13,FALSE)</f>
        <v>3.474634775658361</v>
      </c>
      <c r="AU5" s="265">
        <f aca="true" t="shared" si="1" ref="AU5:AU68">SUM(AR5:AT5)</f>
        <v>8.108869849000401</v>
      </c>
      <c r="AW5" t="s">
        <v>303</v>
      </c>
      <c r="AY5" t="s">
        <v>337</v>
      </c>
      <c r="BA5" t="s">
        <v>354</v>
      </c>
      <c r="BC5" t="s">
        <v>372</v>
      </c>
      <c r="BE5" t="s">
        <v>381</v>
      </c>
      <c r="BG5" t="s">
        <v>391</v>
      </c>
      <c r="BI5" t="s">
        <v>396</v>
      </c>
    </row>
    <row r="6" spans="1:59" ht="15">
      <c r="A6">
        <v>1002</v>
      </c>
      <c r="B6" t="s">
        <v>303</v>
      </c>
      <c r="C6">
        <v>274.5996</v>
      </c>
      <c r="D6">
        <v>23967</v>
      </c>
      <c r="E6">
        <v>87.27980667124059</v>
      </c>
      <c r="F6" t="s">
        <v>173</v>
      </c>
      <c r="G6" t="s">
        <v>164</v>
      </c>
      <c r="H6">
        <f>VLOOKUP(CONCATENATE($G6,"-",$F6,"-",$H$2),'Look-ups'!$O$3:$S$34,5,FALSE)*VLOOKUP(CONCATENATE($F6,"-",$H$2,"-",H$3),'Look-ups'!$I$3:$M$24,5,FALSE)</f>
        <v>312.66666666666663</v>
      </c>
      <c r="I6">
        <f>VLOOKUP(CONCATENATE($G6,"-",$F6,"-",$H$2),'Look-ups'!$O$3:$S$34,5,FALSE)*VLOOKUP(CONCATENATE($F6,"-",$H$2,"-",I$3),'Look-ups'!$I$3:$M$24,5,FALSE)</f>
        <v>469</v>
      </c>
      <c r="J6">
        <f>VLOOKUP(CONCATENATE($G6,"-",$F6,"-",$H$2),'Look-ups'!$O$3:$S$34,5,FALSE)*VLOOKUP(CONCATENATE($F6,"-",$H$2,"-",J$3),'Look-ups'!$I$3:$M$24,5,FALSE)</f>
        <v>547.1666666666667</v>
      </c>
      <c r="K6">
        <f>VLOOKUP(CONCATENATE($G6,"-",$F6,"-",$H$2),'Look-ups'!$O$3:$S$34,5,FALSE)*VLOOKUP(CONCATENATE($F6,"-",$H$2,"-",K$3),'Look-ups'!$I$3:$M$24,5,FALSE)</f>
        <v>703.5</v>
      </c>
      <c r="L6">
        <f>VLOOKUP(CONCATENATE($G6,"-",$F6,"-",$H$2),'Look-ups'!$O$3:$S$34,5,FALSE)*VLOOKUP(CONCATENATE($F6,"-",$H$2,"-",L$3),'Look-ups'!$I$3:$M$24,5,FALSE)</f>
        <v>781.6666666666667</v>
      </c>
      <c r="M6">
        <f>VLOOKUP(CONCATENATE($G6,"-",$F6,"-",$H$2),'Look-ups'!$O$3:$S$34,5,FALSE)*VLOOKUP(CONCATENATE($F6,"-",$H$2,"-",M$3),'Look-ups'!$I$3:$M$24,5,FALSE)</f>
        <v>859.8333333333333</v>
      </c>
      <c r="N6">
        <f>VLOOKUP(CONCATENATE($G6,"-",$F6,"-",$N$2),'Look-ups'!$O$3:$S$34,5,FALSE)*VLOOKUP(CONCATENATE($F6,"-",$N$2,"-",N$3),'Look-ups'!$I$3:$M$24,5,FALSE)</f>
        <v>312</v>
      </c>
      <c r="O6">
        <f>VLOOKUP(CONCATENATE($G6,"-",$F6,"-",$N$2),'Look-ups'!$O$3:$S$34,5,FALSE)*VLOOKUP(CONCATENATE($F6,"-",$N$2,"-",O$3),'Look-ups'!$I$3:$M$24,5,FALSE)</f>
        <v>312</v>
      </c>
      <c r="P6">
        <f>VLOOKUP(CONCATENATE($G6,"-",$F6,"-",$N$2),'Look-ups'!$O$3:$S$34,5,FALSE)*VLOOKUP(CONCATENATE($F6,"-",$N$2,"-",P$3),'Look-ups'!$I$3:$M$24,5,FALSE)</f>
        <v>416</v>
      </c>
      <c r="Q6">
        <f>VLOOKUP(CONCATENATE($G6,"-",$F6,"-",$N$2),'Look-ups'!$O$3:$S$34,5,FALSE)*VLOOKUP(CONCATENATE($F6,"-",$N$2,"-",Q$3),'Look-ups'!$I$3:$M$24,5,FALSE)</f>
        <v>534.8571428571429</v>
      </c>
      <c r="R6">
        <f>VLOOKUP(CONCATENATE($G6,"-",$F6,"-",$N$2),'Look-ups'!$O$3:$S$34,5,FALSE)*VLOOKUP(CONCATENATE($F6,"-",$N$2,"-",R$3),'Look-ups'!$I$3:$M$24,5,FALSE)</f>
        <v>609.1428571428571</v>
      </c>
      <c r="S6" s="117">
        <f>VLOOKUP(CONCATENATE($G6,"-",$F6,"-Lone Person"),'Look-ups'!$Y$4:$AG$35,5,FALSE)</f>
        <v>106</v>
      </c>
      <c r="T6">
        <f>VLOOKUP(CONCATENATE($G6,"-",$F6,"-Lone Person"),'Look-ups'!$Y$4:$AG$35,6,FALSE)</f>
        <v>151.58</v>
      </c>
      <c r="U6">
        <f>VLOOKUP(CONCATENATE($G6,"-",$F6,"-Lone Person"),'Look-ups'!$Y$4:$AG$35,7,FALSE)</f>
        <v>181.26000000000002</v>
      </c>
      <c r="V6">
        <f>VLOOKUP(CONCATENATE($G6,"-",$F6,"-Lone Person"),'Look-ups'!$Y$4:$AG$35,8,FALSE)</f>
        <v>221.54000000000002</v>
      </c>
      <c r="W6">
        <f>VLOOKUP(CONCATENATE($G6,"-",$F6,"-Lone Person"),'Look-ups'!$Y$4:$AG$35,9,FALSE)</f>
        <v>210.94</v>
      </c>
      <c r="X6" s="117">
        <f>VLOOKUP(CONCATENATE($G6,"-",$F6,"-Couple Only"),'Look-ups'!$Y$4:$AG$35,5,FALSE)</f>
        <v>171.72</v>
      </c>
      <c r="Y6">
        <f>VLOOKUP(CONCATENATE($G6,"-",$F6,"-Couple Only"),'Look-ups'!$Y$4:$AG$35,6,FALSE)</f>
        <v>162.18</v>
      </c>
      <c r="Z6">
        <f>VLOOKUP(CONCATENATE($G6,"-",$F6,"-Couple Only"),'Look-ups'!$Y$4:$AG$35,7,FALSE)</f>
        <v>183.38</v>
      </c>
      <c r="AA6">
        <f>VLOOKUP(CONCATENATE($G6,"-",$F6,"-Couple Only"),'Look-ups'!$Y$4:$AG$35,8,FALSE)</f>
        <v>202.46</v>
      </c>
      <c r="AB6">
        <f>VLOOKUP(CONCATENATE($G6,"-",$F6,"-Couple Only"),'Look-ups'!$Y$4:$AG$35,9,FALSE)</f>
        <v>254.4</v>
      </c>
      <c r="AC6">
        <v>14</v>
      </c>
      <c r="AD6" t="s">
        <v>164</v>
      </c>
      <c r="AE6" s="260">
        <f>VLOOKUP($AD6,'Look-ups'!$A$122:$G$130,5,FALSE)</f>
        <v>0.09143686502177067</v>
      </c>
      <c r="AF6" s="260">
        <f>VLOOKUP($AD6,'Look-ups'!$A$122:$G$130,6,FALSE)</f>
        <v>0.2815674891146589</v>
      </c>
      <c r="AG6" s="260">
        <f>VLOOKUP($AD6,'Look-ups'!$A$122:$G$130,7,FALSE)</f>
        <v>0.6269956458635704</v>
      </c>
      <c r="AH6" s="264">
        <f>VLOOKUP($AC6,'Look-ups'!$A$50:$AO$118,'Look-ups'!$B$133*4,FALSE)*0.277778</f>
        <v>102.2152329540214</v>
      </c>
      <c r="AI6" s="264">
        <f>VLOOKUP($AC6,'Look-ups'!$A$50:$AO$118,'Look-ups'!$B$133*4+1,FALSE)*0.277778</f>
        <v>8.618189045978601</v>
      </c>
      <c r="AJ6" s="264">
        <f>AE6*$AH6/'Look-ups'!$B$141</f>
        <v>12.217307789262355</v>
      </c>
      <c r="AK6" s="264">
        <f>AF6*$AH6/'Look-ups'!$B$140</f>
        <v>39.42532396182705</v>
      </c>
      <c r="AL6" s="264">
        <f>AG6*$AH6/'Look-ups'!$B$137</f>
        <v>12.207334476781325</v>
      </c>
      <c r="AM6" s="264">
        <f>AI6/'Look-ups'!$B$136</f>
        <v>1.814355588627074</v>
      </c>
      <c r="AN6" s="263">
        <f>AJ6*VLOOKUP($AD6,'Look-ups'!$A$123:$M$130,10,FALSE)</f>
        <v>3.3156415861414774</v>
      </c>
      <c r="AO6" s="263">
        <f>AK6*VLOOKUP($AD6,'Look-ups'!$A$123:$M$130,9,FALSE)</f>
        <v>6.081040818520128</v>
      </c>
      <c r="AP6" s="263">
        <f>(AL6+AM6)*VLOOKUP($AD6,'Look-ups'!$A$123:$M$130,8,FALSE)</f>
        <v>3.9889698460510847</v>
      </c>
      <c r="AQ6" s="263">
        <f t="shared" si="0"/>
        <v>13.38565225071269</v>
      </c>
      <c r="AR6" s="265">
        <f>AJ6*VLOOKUP($AD6,'Look-ups'!$A$123:$M$130,11,FALSE)</f>
        <v>0.052780247496543274</v>
      </c>
      <c r="AS6" s="265">
        <f>AK6*VLOOKUP($AD6,'Look-ups'!$A$123:$M$130,12,FALSE)</f>
        <v>7.313917787208654</v>
      </c>
      <c r="AT6" s="265">
        <f>(AL6+AM6)*VLOOKUP($AD6,'Look-ups'!$A$123:$M$130,13,FALSE)</f>
        <v>3.609183022836122</v>
      </c>
      <c r="AU6" s="265">
        <f t="shared" si="1"/>
        <v>10.975881057541319</v>
      </c>
      <c r="AW6" t="s">
        <v>304</v>
      </c>
      <c r="AY6" t="s">
        <v>197</v>
      </c>
      <c r="BA6" t="s">
        <v>355</v>
      </c>
      <c r="BC6" t="s">
        <v>373</v>
      </c>
      <c r="BE6" t="s">
        <v>382</v>
      </c>
      <c r="BG6" t="s">
        <v>392</v>
      </c>
    </row>
    <row r="7" spans="1:59" ht="15">
      <c r="A7">
        <v>1003</v>
      </c>
      <c r="B7" t="s">
        <v>304</v>
      </c>
      <c r="C7">
        <v>480.5548</v>
      </c>
      <c r="D7">
        <v>46190</v>
      </c>
      <c r="E7">
        <v>96.11807019719707</v>
      </c>
      <c r="F7" t="s">
        <v>173</v>
      </c>
      <c r="G7" t="s">
        <v>164</v>
      </c>
      <c r="H7">
        <f>VLOOKUP(CONCATENATE($G7,"-",$F7,"-",$H$2),'Look-ups'!$O$3:$S$34,5,FALSE)*VLOOKUP(CONCATENATE($F7,"-",$H$2,"-",H$3),'Look-ups'!$I$3:$M$24,5,FALSE)</f>
        <v>312.66666666666663</v>
      </c>
      <c r="I7">
        <f>VLOOKUP(CONCATENATE($G7,"-",$F7,"-",$H$2),'Look-ups'!$O$3:$S$34,5,FALSE)*VLOOKUP(CONCATENATE($F7,"-",$H$2,"-",I$3),'Look-ups'!$I$3:$M$24,5,FALSE)</f>
        <v>469</v>
      </c>
      <c r="J7">
        <f>VLOOKUP(CONCATENATE($G7,"-",$F7,"-",$H$2),'Look-ups'!$O$3:$S$34,5,FALSE)*VLOOKUP(CONCATENATE($F7,"-",$H$2,"-",J$3),'Look-ups'!$I$3:$M$24,5,FALSE)</f>
        <v>547.1666666666667</v>
      </c>
      <c r="K7">
        <f>VLOOKUP(CONCATENATE($G7,"-",$F7,"-",$H$2),'Look-ups'!$O$3:$S$34,5,FALSE)*VLOOKUP(CONCATENATE($F7,"-",$H$2,"-",K$3),'Look-ups'!$I$3:$M$24,5,FALSE)</f>
        <v>703.5</v>
      </c>
      <c r="L7">
        <f>VLOOKUP(CONCATENATE($G7,"-",$F7,"-",$H$2),'Look-ups'!$O$3:$S$34,5,FALSE)*VLOOKUP(CONCATENATE($F7,"-",$H$2,"-",L$3),'Look-ups'!$I$3:$M$24,5,FALSE)</f>
        <v>781.6666666666667</v>
      </c>
      <c r="M7">
        <f>VLOOKUP(CONCATENATE($G7,"-",$F7,"-",$H$2),'Look-ups'!$O$3:$S$34,5,FALSE)*VLOOKUP(CONCATENATE($F7,"-",$H$2,"-",M$3),'Look-ups'!$I$3:$M$24,5,FALSE)</f>
        <v>859.8333333333333</v>
      </c>
      <c r="N7">
        <f>VLOOKUP(CONCATENATE($G7,"-",$F7,"-",$N$2),'Look-ups'!$O$3:$S$34,5,FALSE)*VLOOKUP(CONCATENATE($F7,"-",$N$2,"-",N$3),'Look-ups'!$I$3:$M$24,5,FALSE)</f>
        <v>312</v>
      </c>
      <c r="O7">
        <f>VLOOKUP(CONCATENATE($G7,"-",$F7,"-",$N$2),'Look-ups'!$O$3:$S$34,5,FALSE)*VLOOKUP(CONCATENATE($F7,"-",$N$2,"-",O$3),'Look-ups'!$I$3:$M$24,5,FALSE)</f>
        <v>312</v>
      </c>
      <c r="P7">
        <f>VLOOKUP(CONCATENATE($G7,"-",$F7,"-",$N$2),'Look-ups'!$O$3:$S$34,5,FALSE)*VLOOKUP(CONCATENATE($F7,"-",$N$2,"-",P$3),'Look-ups'!$I$3:$M$24,5,FALSE)</f>
        <v>416</v>
      </c>
      <c r="Q7">
        <f>VLOOKUP(CONCATENATE($G7,"-",$F7,"-",$N$2),'Look-ups'!$O$3:$S$34,5,FALSE)*VLOOKUP(CONCATENATE($F7,"-",$N$2,"-",Q$3),'Look-ups'!$I$3:$M$24,5,FALSE)</f>
        <v>534.8571428571429</v>
      </c>
      <c r="R7">
        <f>VLOOKUP(CONCATENATE($G7,"-",$F7,"-",$N$2),'Look-ups'!$O$3:$S$34,5,FALSE)*VLOOKUP(CONCATENATE($F7,"-",$N$2,"-",R$3),'Look-ups'!$I$3:$M$24,5,FALSE)</f>
        <v>609.1428571428571</v>
      </c>
      <c r="S7" s="117">
        <f>VLOOKUP(CONCATENATE($G7,"-",$F7,"-Lone Person"),'Look-ups'!$Y$4:$AG$35,5,FALSE)</f>
        <v>106</v>
      </c>
      <c r="T7">
        <f>VLOOKUP(CONCATENATE($G7,"-",$F7,"-Lone Person"),'Look-ups'!$Y$4:$AG$35,6,FALSE)</f>
        <v>151.58</v>
      </c>
      <c r="U7">
        <f>VLOOKUP(CONCATENATE($G7,"-",$F7,"-Lone Person"),'Look-ups'!$Y$4:$AG$35,7,FALSE)</f>
        <v>181.26000000000002</v>
      </c>
      <c r="V7">
        <f>VLOOKUP(CONCATENATE($G7,"-",$F7,"-Lone Person"),'Look-ups'!$Y$4:$AG$35,8,FALSE)</f>
        <v>221.54000000000002</v>
      </c>
      <c r="W7">
        <f>VLOOKUP(CONCATENATE($G7,"-",$F7,"-Lone Person"),'Look-ups'!$Y$4:$AG$35,9,FALSE)</f>
        <v>210.94</v>
      </c>
      <c r="X7" s="117">
        <f>VLOOKUP(CONCATENATE($G7,"-",$F7,"-Couple Only"),'Look-ups'!$Y$4:$AG$35,5,FALSE)</f>
        <v>171.72</v>
      </c>
      <c r="Y7">
        <f>VLOOKUP(CONCATENATE($G7,"-",$F7,"-Couple Only"),'Look-ups'!$Y$4:$AG$35,6,FALSE)</f>
        <v>162.18</v>
      </c>
      <c r="Z7">
        <f>VLOOKUP(CONCATENATE($G7,"-",$F7,"-Couple Only"),'Look-ups'!$Y$4:$AG$35,7,FALSE)</f>
        <v>183.38</v>
      </c>
      <c r="AA7">
        <f>VLOOKUP(CONCATENATE($G7,"-",$F7,"-Couple Only"),'Look-ups'!$Y$4:$AG$35,8,FALSE)</f>
        <v>202.46</v>
      </c>
      <c r="AB7">
        <f>VLOOKUP(CONCATENATE($G7,"-",$F7,"-Couple Only"),'Look-ups'!$Y$4:$AG$35,9,FALSE)</f>
        <v>254.4</v>
      </c>
      <c r="AC7">
        <v>10</v>
      </c>
      <c r="AD7" t="s">
        <v>164</v>
      </c>
      <c r="AE7" s="260">
        <f>VLOOKUP($AD7,'Look-ups'!$A$122:$G$130,5,FALSE)</f>
        <v>0.09143686502177067</v>
      </c>
      <c r="AF7" s="260">
        <f>VLOOKUP($AD7,'Look-ups'!$A$122:$G$130,6,FALSE)</f>
        <v>0.2815674891146589</v>
      </c>
      <c r="AG7" s="260">
        <f>VLOOKUP($AD7,'Look-ups'!$A$122:$G$130,7,FALSE)</f>
        <v>0.6269956458635704</v>
      </c>
      <c r="AH7" s="264">
        <f>VLOOKUP($AC7,'Look-ups'!$A$50:$AO$118,'Look-ups'!$B$133*4,FALSE)*0.277778</f>
        <v>5.039376206978595</v>
      </c>
      <c r="AI7" s="264">
        <f>VLOOKUP($AC7,'Look-ups'!$A$50:$AO$118,'Look-ups'!$B$133*4+1,FALSE)*0.277778</f>
        <v>28.57176179302141</v>
      </c>
      <c r="AJ7" s="264">
        <f>AE7*$AH7/'Look-ups'!$B$141</f>
        <v>0.6023330222633001</v>
      </c>
      <c r="AK7" s="264">
        <f>AF7*$AH7/'Look-ups'!$B$140</f>
        <v>1.943732199045365</v>
      </c>
      <c r="AL7" s="264">
        <f>AG7*$AH7/'Look-ups'!$B$137</f>
        <v>0.6018413218369626</v>
      </c>
      <c r="AM7" s="264">
        <f>AI7/'Look-ups'!$B$136</f>
        <v>6.015107745899244</v>
      </c>
      <c r="AN7" s="263">
        <f>AJ7*VLOOKUP($AD7,'Look-ups'!$A$123:$M$130,10,FALSE)</f>
        <v>0.16346648965312335</v>
      </c>
      <c r="AO7" s="263">
        <f>AK7*VLOOKUP($AD7,'Look-ups'!$A$123:$M$130,9,FALSE)</f>
        <v>0.2998051418451552</v>
      </c>
      <c r="AP7" s="263">
        <f>(AL7+AM7)*VLOOKUP($AD7,'Look-ups'!$A$123:$M$130,8,FALSE)</f>
        <v>1.882427166834313</v>
      </c>
      <c r="AQ7" s="263">
        <f t="shared" si="0"/>
        <v>2.3456987983325917</v>
      </c>
      <c r="AR7" s="265">
        <f>AJ7*VLOOKUP($AD7,'Look-ups'!$A$123:$M$130,11,FALSE)</f>
        <v>0.002602151516419916</v>
      </c>
      <c r="AS7" s="265">
        <f>AK7*VLOOKUP($AD7,'Look-ups'!$A$123:$M$130,12,FALSE)</f>
        <v>0.36058796924364644</v>
      </c>
      <c r="AT7" s="265">
        <f>(AL7+AM7)*VLOOKUP($AD7,'Look-ups'!$A$123:$M$130,13,FALSE)</f>
        <v>1.7032026900352997</v>
      </c>
      <c r="AU7" s="265">
        <f t="shared" si="1"/>
        <v>2.066392810795366</v>
      </c>
      <c r="AW7" t="s">
        <v>305</v>
      </c>
      <c r="AY7" t="s">
        <v>338</v>
      </c>
      <c r="BA7" t="s">
        <v>356</v>
      </c>
      <c r="BC7" t="s">
        <v>374</v>
      </c>
      <c r="BE7" t="s">
        <v>383</v>
      </c>
      <c r="BG7" t="s">
        <v>195</v>
      </c>
    </row>
    <row r="8" spans="1:59" ht="15">
      <c r="A8">
        <v>1004</v>
      </c>
      <c r="B8" t="s">
        <v>305</v>
      </c>
      <c r="C8">
        <v>94.3020999999999</v>
      </c>
      <c r="D8">
        <v>17524</v>
      </c>
      <c r="E8">
        <v>185.82831135255756</v>
      </c>
      <c r="F8" t="s">
        <v>173</v>
      </c>
      <c r="G8" t="s">
        <v>164</v>
      </c>
      <c r="H8">
        <f>VLOOKUP(CONCATENATE($G8,"-",$F8,"-",$H$2),'Look-ups'!$O$3:$S$34,5,FALSE)*VLOOKUP(CONCATENATE($F8,"-",$H$2,"-",H$3),'Look-ups'!$I$3:$M$24,5,FALSE)</f>
        <v>312.66666666666663</v>
      </c>
      <c r="I8">
        <f>VLOOKUP(CONCATENATE($G8,"-",$F8,"-",$H$2),'Look-ups'!$O$3:$S$34,5,FALSE)*VLOOKUP(CONCATENATE($F8,"-",$H$2,"-",I$3),'Look-ups'!$I$3:$M$24,5,FALSE)</f>
        <v>469</v>
      </c>
      <c r="J8">
        <f>VLOOKUP(CONCATENATE($G8,"-",$F8,"-",$H$2),'Look-ups'!$O$3:$S$34,5,FALSE)*VLOOKUP(CONCATENATE($F8,"-",$H$2,"-",J$3),'Look-ups'!$I$3:$M$24,5,FALSE)</f>
        <v>547.1666666666667</v>
      </c>
      <c r="K8">
        <f>VLOOKUP(CONCATENATE($G8,"-",$F8,"-",$H$2),'Look-ups'!$O$3:$S$34,5,FALSE)*VLOOKUP(CONCATENATE($F8,"-",$H$2,"-",K$3),'Look-ups'!$I$3:$M$24,5,FALSE)</f>
        <v>703.5</v>
      </c>
      <c r="L8">
        <f>VLOOKUP(CONCATENATE($G8,"-",$F8,"-",$H$2),'Look-ups'!$O$3:$S$34,5,FALSE)*VLOOKUP(CONCATENATE($F8,"-",$H$2,"-",L$3),'Look-ups'!$I$3:$M$24,5,FALSE)</f>
        <v>781.6666666666667</v>
      </c>
      <c r="M8">
        <f>VLOOKUP(CONCATENATE($G8,"-",$F8,"-",$H$2),'Look-ups'!$O$3:$S$34,5,FALSE)*VLOOKUP(CONCATENATE($F8,"-",$H$2,"-",M$3),'Look-ups'!$I$3:$M$24,5,FALSE)</f>
        <v>859.8333333333333</v>
      </c>
      <c r="N8">
        <f>VLOOKUP(CONCATENATE($G8,"-",$F8,"-",$N$2),'Look-ups'!$O$3:$S$34,5,FALSE)*VLOOKUP(CONCATENATE($F8,"-",$N$2,"-",N$3),'Look-ups'!$I$3:$M$24,5,FALSE)</f>
        <v>312</v>
      </c>
      <c r="O8">
        <f>VLOOKUP(CONCATENATE($G8,"-",$F8,"-",$N$2),'Look-ups'!$O$3:$S$34,5,FALSE)*VLOOKUP(CONCATENATE($F8,"-",$N$2,"-",O$3),'Look-ups'!$I$3:$M$24,5,FALSE)</f>
        <v>312</v>
      </c>
      <c r="P8">
        <f>VLOOKUP(CONCATENATE($G8,"-",$F8,"-",$N$2),'Look-ups'!$O$3:$S$34,5,FALSE)*VLOOKUP(CONCATENATE($F8,"-",$N$2,"-",P$3),'Look-ups'!$I$3:$M$24,5,FALSE)</f>
        <v>416</v>
      </c>
      <c r="Q8">
        <f>VLOOKUP(CONCATENATE($G8,"-",$F8,"-",$N$2),'Look-ups'!$O$3:$S$34,5,FALSE)*VLOOKUP(CONCATENATE($F8,"-",$N$2,"-",Q$3),'Look-ups'!$I$3:$M$24,5,FALSE)</f>
        <v>534.8571428571429</v>
      </c>
      <c r="R8">
        <f>VLOOKUP(CONCATENATE($G8,"-",$F8,"-",$N$2),'Look-ups'!$O$3:$S$34,5,FALSE)*VLOOKUP(CONCATENATE($F8,"-",$N$2,"-",R$3),'Look-ups'!$I$3:$M$24,5,FALSE)</f>
        <v>609.1428571428571</v>
      </c>
      <c r="S8" s="117">
        <f>VLOOKUP(CONCATENATE($G8,"-",$F8,"-Lone Person"),'Look-ups'!$Y$4:$AG$35,5,FALSE)</f>
        <v>106</v>
      </c>
      <c r="T8">
        <f>VLOOKUP(CONCATENATE($G8,"-",$F8,"-Lone Person"),'Look-ups'!$Y$4:$AG$35,6,FALSE)</f>
        <v>151.58</v>
      </c>
      <c r="U8">
        <f>VLOOKUP(CONCATENATE($G8,"-",$F8,"-Lone Person"),'Look-ups'!$Y$4:$AG$35,7,FALSE)</f>
        <v>181.26000000000002</v>
      </c>
      <c r="V8">
        <f>VLOOKUP(CONCATENATE($G8,"-",$F8,"-Lone Person"),'Look-ups'!$Y$4:$AG$35,8,FALSE)</f>
        <v>221.54000000000002</v>
      </c>
      <c r="W8">
        <f>VLOOKUP(CONCATENATE($G8,"-",$F8,"-Lone Person"),'Look-ups'!$Y$4:$AG$35,9,FALSE)</f>
        <v>210.94</v>
      </c>
      <c r="X8" s="117">
        <f>VLOOKUP(CONCATENATE($G8,"-",$F8,"-Couple Only"),'Look-ups'!$Y$4:$AG$35,5,FALSE)</f>
        <v>171.72</v>
      </c>
      <c r="Y8">
        <f>VLOOKUP(CONCATENATE($G8,"-",$F8,"-Couple Only"),'Look-ups'!$Y$4:$AG$35,6,FALSE)</f>
        <v>162.18</v>
      </c>
      <c r="Z8">
        <f>VLOOKUP(CONCATENATE($G8,"-",$F8,"-Couple Only"),'Look-ups'!$Y$4:$AG$35,7,FALSE)</f>
        <v>183.38</v>
      </c>
      <c r="AA8">
        <f>VLOOKUP(CONCATENATE($G8,"-",$F8,"-Couple Only"),'Look-ups'!$Y$4:$AG$35,8,FALSE)</f>
        <v>202.46</v>
      </c>
      <c r="AB8">
        <f>VLOOKUP(CONCATENATE($G8,"-",$F8,"-Couple Only"),'Look-ups'!$Y$4:$AG$35,9,FALSE)</f>
        <v>254.4</v>
      </c>
      <c r="AC8">
        <v>18</v>
      </c>
      <c r="AD8" t="s">
        <v>164</v>
      </c>
      <c r="AE8" s="260">
        <f>VLOOKUP($AD8,'Look-ups'!$A$122:$G$130,5,FALSE)</f>
        <v>0.09143686502177067</v>
      </c>
      <c r="AF8" s="260">
        <f>VLOOKUP($AD8,'Look-ups'!$A$122:$G$130,6,FALSE)</f>
        <v>0.2815674891146589</v>
      </c>
      <c r="AG8" s="260">
        <f>VLOOKUP($AD8,'Look-ups'!$A$122:$G$130,7,FALSE)</f>
        <v>0.6269956458635704</v>
      </c>
      <c r="AH8" s="264">
        <f>VLOOKUP($AC8,'Look-ups'!$A$50:$AO$118,'Look-ups'!$B$133*4,FALSE)*0.277778</f>
        <v>33.38164755508251</v>
      </c>
      <c r="AI8" s="264">
        <f>VLOOKUP($AC8,'Look-ups'!$A$50:$AO$118,'Look-ups'!$B$133*4+1,FALSE)*0.277778</f>
        <v>20.785062444917497</v>
      </c>
      <c r="AJ8" s="264">
        <f>AE8*$AH8/'Look-ups'!$B$141</f>
        <v>3.9899518976449686</v>
      </c>
      <c r="AK8" s="264">
        <f>AF8*$AH8/'Look-ups'!$B$140</f>
        <v>12.875598198075444</v>
      </c>
      <c r="AL8" s="264">
        <f>AG8*$AH8/'Look-ups'!$B$137</f>
        <v>3.9866947940550537</v>
      </c>
      <c r="AM8" s="264">
        <f>AI8/'Look-ups'!$B$136</f>
        <v>4.375802619982631</v>
      </c>
      <c r="AN8" s="263">
        <f>AJ8*VLOOKUP($AD8,'Look-ups'!$A$123:$M$130,10,FALSE)</f>
        <v>1.0828286122219817</v>
      </c>
      <c r="AO8" s="263">
        <f>AK8*VLOOKUP($AD8,'Look-ups'!$A$123:$M$130,9,FALSE)</f>
        <v>1.9859580172675528</v>
      </c>
      <c r="AP8" s="263">
        <f>(AL8+AM8)*VLOOKUP($AD8,'Look-ups'!$A$123:$M$130,8,FALSE)</f>
        <v>2.3790106518307863</v>
      </c>
      <c r="AQ8" s="263">
        <f t="shared" si="0"/>
        <v>5.447797281320321</v>
      </c>
      <c r="AR8" s="265">
        <f>AJ8*VLOOKUP($AD8,'Look-ups'!$A$123:$M$130,11,FALSE)</f>
        <v>0.01723707483592167</v>
      </c>
      <c r="AS8" s="265">
        <f>AK8*VLOOKUP($AD8,'Look-ups'!$A$123:$M$130,12,FALSE)</f>
        <v>2.388593351142412</v>
      </c>
      <c r="AT8" s="265">
        <f>(AL8+AM8)*VLOOKUP($AD8,'Look-ups'!$A$123:$M$130,13,FALSE)</f>
        <v>2.1525068343733</v>
      </c>
      <c r="AU8" s="265">
        <f t="shared" si="1"/>
        <v>4.5583372603516334</v>
      </c>
      <c r="AW8" t="s">
        <v>306</v>
      </c>
      <c r="AY8" t="s">
        <v>585</v>
      </c>
      <c r="BA8" t="s">
        <v>357</v>
      </c>
      <c r="BC8" t="s">
        <v>375</v>
      </c>
      <c r="BE8" t="s">
        <v>384</v>
      </c>
      <c r="BG8" t="s">
        <v>393</v>
      </c>
    </row>
    <row r="9" spans="1:57" ht="15">
      <c r="A9">
        <v>1005</v>
      </c>
      <c r="B9" t="s">
        <v>306</v>
      </c>
      <c r="C9">
        <v>213.5388</v>
      </c>
      <c r="D9">
        <v>37396</v>
      </c>
      <c r="E9">
        <v>175.1250826547681</v>
      </c>
      <c r="F9" t="s">
        <v>173</v>
      </c>
      <c r="G9" t="s">
        <v>164</v>
      </c>
      <c r="H9">
        <f>VLOOKUP(CONCATENATE($G9,"-",$F9,"-",$H$2),'Look-ups'!$O$3:$S$34,5,FALSE)*VLOOKUP(CONCATENATE($F9,"-",$H$2,"-",H$3),'Look-ups'!$I$3:$M$24,5,FALSE)</f>
        <v>312.66666666666663</v>
      </c>
      <c r="I9">
        <f>VLOOKUP(CONCATENATE($G9,"-",$F9,"-",$H$2),'Look-ups'!$O$3:$S$34,5,FALSE)*VLOOKUP(CONCATENATE($F9,"-",$H$2,"-",I$3),'Look-ups'!$I$3:$M$24,5,FALSE)</f>
        <v>469</v>
      </c>
      <c r="J9">
        <f>VLOOKUP(CONCATENATE($G9,"-",$F9,"-",$H$2),'Look-ups'!$O$3:$S$34,5,FALSE)*VLOOKUP(CONCATENATE($F9,"-",$H$2,"-",J$3),'Look-ups'!$I$3:$M$24,5,FALSE)</f>
        <v>547.1666666666667</v>
      </c>
      <c r="K9">
        <f>VLOOKUP(CONCATENATE($G9,"-",$F9,"-",$H$2),'Look-ups'!$O$3:$S$34,5,FALSE)*VLOOKUP(CONCATENATE($F9,"-",$H$2,"-",K$3),'Look-ups'!$I$3:$M$24,5,FALSE)</f>
        <v>703.5</v>
      </c>
      <c r="L9">
        <f>VLOOKUP(CONCATENATE($G9,"-",$F9,"-",$H$2),'Look-ups'!$O$3:$S$34,5,FALSE)*VLOOKUP(CONCATENATE($F9,"-",$H$2,"-",L$3),'Look-ups'!$I$3:$M$24,5,FALSE)</f>
        <v>781.6666666666667</v>
      </c>
      <c r="M9">
        <f>VLOOKUP(CONCATENATE($G9,"-",$F9,"-",$H$2),'Look-ups'!$O$3:$S$34,5,FALSE)*VLOOKUP(CONCATENATE($F9,"-",$H$2,"-",M$3),'Look-ups'!$I$3:$M$24,5,FALSE)</f>
        <v>859.8333333333333</v>
      </c>
      <c r="N9">
        <f>VLOOKUP(CONCATENATE($G9,"-",$F9,"-",$N$2),'Look-ups'!$O$3:$S$34,5,FALSE)*VLOOKUP(CONCATENATE($F9,"-",$N$2,"-",N$3),'Look-ups'!$I$3:$M$24,5,FALSE)</f>
        <v>312</v>
      </c>
      <c r="O9">
        <f>VLOOKUP(CONCATENATE($G9,"-",$F9,"-",$N$2),'Look-ups'!$O$3:$S$34,5,FALSE)*VLOOKUP(CONCATENATE($F9,"-",$N$2,"-",O$3),'Look-ups'!$I$3:$M$24,5,FALSE)</f>
        <v>312</v>
      </c>
      <c r="P9">
        <f>VLOOKUP(CONCATENATE($G9,"-",$F9,"-",$N$2),'Look-ups'!$O$3:$S$34,5,FALSE)*VLOOKUP(CONCATENATE($F9,"-",$N$2,"-",P$3),'Look-ups'!$I$3:$M$24,5,FALSE)</f>
        <v>416</v>
      </c>
      <c r="Q9">
        <f>VLOOKUP(CONCATENATE($G9,"-",$F9,"-",$N$2),'Look-ups'!$O$3:$S$34,5,FALSE)*VLOOKUP(CONCATENATE($F9,"-",$N$2,"-",Q$3),'Look-ups'!$I$3:$M$24,5,FALSE)</f>
        <v>534.8571428571429</v>
      </c>
      <c r="R9">
        <f>VLOOKUP(CONCATENATE($G9,"-",$F9,"-",$N$2),'Look-ups'!$O$3:$S$34,5,FALSE)*VLOOKUP(CONCATENATE($F9,"-",$N$2,"-",R$3),'Look-ups'!$I$3:$M$24,5,FALSE)</f>
        <v>609.1428571428571</v>
      </c>
      <c r="S9" s="117">
        <f>VLOOKUP(CONCATENATE($G9,"-",$F9,"-Lone Person"),'Look-ups'!$Y$4:$AG$35,5,FALSE)</f>
        <v>106</v>
      </c>
      <c r="T9">
        <f>VLOOKUP(CONCATENATE($G9,"-",$F9,"-Lone Person"),'Look-ups'!$Y$4:$AG$35,6,FALSE)</f>
        <v>151.58</v>
      </c>
      <c r="U9">
        <f>VLOOKUP(CONCATENATE($G9,"-",$F9,"-Lone Person"),'Look-ups'!$Y$4:$AG$35,7,FALSE)</f>
        <v>181.26000000000002</v>
      </c>
      <c r="V9">
        <f>VLOOKUP(CONCATENATE($G9,"-",$F9,"-Lone Person"),'Look-ups'!$Y$4:$AG$35,8,FALSE)</f>
        <v>221.54000000000002</v>
      </c>
      <c r="W9">
        <f>VLOOKUP(CONCATENATE($G9,"-",$F9,"-Lone Person"),'Look-ups'!$Y$4:$AG$35,9,FALSE)</f>
        <v>210.94</v>
      </c>
      <c r="X9" s="117">
        <f>VLOOKUP(CONCATENATE($G9,"-",$F9,"-Couple Only"),'Look-ups'!$Y$4:$AG$35,5,FALSE)</f>
        <v>171.72</v>
      </c>
      <c r="Y9">
        <f>VLOOKUP(CONCATENATE($G9,"-",$F9,"-Couple Only"),'Look-ups'!$Y$4:$AG$35,6,FALSE)</f>
        <v>162.18</v>
      </c>
      <c r="Z9">
        <f>VLOOKUP(CONCATENATE($G9,"-",$F9,"-Couple Only"),'Look-ups'!$Y$4:$AG$35,7,FALSE)</f>
        <v>183.38</v>
      </c>
      <c r="AA9">
        <f>VLOOKUP(CONCATENATE($G9,"-",$F9,"-Couple Only"),'Look-ups'!$Y$4:$AG$35,8,FALSE)</f>
        <v>202.46</v>
      </c>
      <c r="AB9">
        <f>VLOOKUP(CONCATENATE($G9,"-",$F9,"-Couple Only"),'Look-ups'!$Y$4:$AG$35,9,FALSE)</f>
        <v>254.4</v>
      </c>
      <c r="AC9">
        <v>65</v>
      </c>
      <c r="AD9" t="s">
        <v>164</v>
      </c>
      <c r="AE9" s="260">
        <f>VLOOKUP($AD9,'Look-ups'!$A$122:$G$130,5,FALSE)</f>
        <v>0.09143686502177067</v>
      </c>
      <c r="AF9" s="260">
        <f>VLOOKUP($AD9,'Look-ups'!$A$122:$G$130,6,FALSE)</f>
        <v>0.2815674891146589</v>
      </c>
      <c r="AG9" s="260">
        <f>VLOOKUP($AD9,'Look-ups'!$A$122:$G$130,7,FALSE)</f>
        <v>0.6269956458635704</v>
      </c>
      <c r="AH9" s="264">
        <f>VLOOKUP($AC9,'Look-ups'!$A$50:$AO$118,'Look-ups'!$B$133*4,FALSE)*0.277778</f>
        <v>118.60883174298655</v>
      </c>
      <c r="AI9" s="264">
        <f>VLOOKUP($AC9,'Look-ups'!$A$50:$AO$118,'Look-ups'!$B$133*4+1,FALSE)*0.277778</f>
        <v>10.00238225701346</v>
      </c>
      <c r="AJ9" s="264">
        <f>AE9*$AH9/'Look-ups'!$B$141</f>
        <v>14.176757828069766</v>
      </c>
      <c r="AK9" s="264">
        <f>AF9*$AH9/'Look-ups'!$B$140</f>
        <v>45.74848074067914</v>
      </c>
      <c r="AL9" s="264">
        <f>AG9*$AH9/'Look-ups'!$B$137</f>
        <v>14.165184964536646</v>
      </c>
      <c r="AM9" s="264">
        <f>AI9/'Look-ups'!$B$136</f>
        <v>2.1057646856870442</v>
      </c>
      <c r="AN9" s="263">
        <f>AJ9*VLOOKUP($AD9,'Look-ups'!$A$123:$M$130,10,FALSE)</f>
        <v>3.847414555006711</v>
      </c>
      <c r="AO9" s="263">
        <f>AK9*VLOOKUP($AD9,'Look-ups'!$A$123:$M$130,9,FALSE)</f>
        <v>7.056337166403833</v>
      </c>
      <c r="AP9" s="263">
        <f>(AL9+AM9)*VLOOKUP($AD9,'Look-ups'!$A$123:$M$130,8,FALSE)</f>
        <v>4.628851958543653</v>
      </c>
      <c r="AQ9" s="263">
        <f t="shared" si="0"/>
        <v>15.532603679954196</v>
      </c>
      <c r="AR9" s="265">
        <f>AJ9*VLOOKUP($AD9,'Look-ups'!$A$123:$M$130,11,FALSE)</f>
        <v>0.06124530868590459</v>
      </c>
      <c r="AS9" s="265">
        <f>AK9*VLOOKUP($AD9,'Look-ups'!$A$123:$M$130,12,FALSE)</f>
        <v>8.4869467997523</v>
      </c>
      <c r="AT9" s="265">
        <f>(AL9+AM9)*VLOOKUP($AD9,'Look-ups'!$A$123:$M$130,13,FALSE)</f>
        <v>4.188142439967579</v>
      </c>
      <c r="AU9" s="265">
        <f t="shared" si="1"/>
        <v>12.736334548405782</v>
      </c>
      <c r="AW9" t="s">
        <v>307</v>
      </c>
      <c r="AY9" t="s">
        <v>339</v>
      </c>
      <c r="BA9" t="s">
        <v>589</v>
      </c>
      <c r="BC9" t="s">
        <v>376</v>
      </c>
      <c r="BE9" t="s">
        <v>385</v>
      </c>
    </row>
    <row r="10" spans="1:57" ht="15">
      <c r="A10">
        <v>1006</v>
      </c>
      <c r="B10" t="s">
        <v>307</v>
      </c>
      <c r="C10">
        <v>421.8192</v>
      </c>
      <c r="D10">
        <v>41600</v>
      </c>
      <c r="E10">
        <v>98.62045160580647</v>
      </c>
      <c r="F10" t="s">
        <v>173</v>
      </c>
      <c r="G10" t="s">
        <v>164</v>
      </c>
      <c r="H10">
        <f>VLOOKUP(CONCATENATE($G10,"-",$F10,"-",$H$2),'Look-ups'!$O$3:$S$34,5,FALSE)*VLOOKUP(CONCATENATE($F10,"-",$H$2,"-",H$3),'Look-ups'!$I$3:$M$24,5,FALSE)</f>
        <v>312.66666666666663</v>
      </c>
      <c r="I10">
        <f>VLOOKUP(CONCATENATE($G10,"-",$F10,"-",$H$2),'Look-ups'!$O$3:$S$34,5,FALSE)*VLOOKUP(CONCATENATE($F10,"-",$H$2,"-",I$3),'Look-ups'!$I$3:$M$24,5,FALSE)</f>
        <v>469</v>
      </c>
      <c r="J10">
        <f>VLOOKUP(CONCATENATE($G10,"-",$F10,"-",$H$2),'Look-ups'!$O$3:$S$34,5,FALSE)*VLOOKUP(CONCATENATE($F10,"-",$H$2,"-",J$3),'Look-ups'!$I$3:$M$24,5,FALSE)</f>
        <v>547.1666666666667</v>
      </c>
      <c r="K10">
        <f>VLOOKUP(CONCATENATE($G10,"-",$F10,"-",$H$2),'Look-ups'!$O$3:$S$34,5,FALSE)*VLOOKUP(CONCATENATE($F10,"-",$H$2,"-",K$3),'Look-ups'!$I$3:$M$24,5,FALSE)</f>
        <v>703.5</v>
      </c>
      <c r="L10">
        <f>VLOOKUP(CONCATENATE($G10,"-",$F10,"-",$H$2),'Look-ups'!$O$3:$S$34,5,FALSE)*VLOOKUP(CONCATENATE($F10,"-",$H$2,"-",L$3),'Look-ups'!$I$3:$M$24,5,FALSE)</f>
        <v>781.6666666666667</v>
      </c>
      <c r="M10">
        <f>VLOOKUP(CONCATENATE($G10,"-",$F10,"-",$H$2),'Look-ups'!$O$3:$S$34,5,FALSE)*VLOOKUP(CONCATENATE($F10,"-",$H$2,"-",M$3),'Look-ups'!$I$3:$M$24,5,FALSE)</f>
        <v>859.8333333333333</v>
      </c>
      <c r="N10">
        <f>VLOOKUP(CONCATENATE($G10,"-",$F10,"-",$N$2),'Look-ups'!$O$3:$S$34,5,FALSE)*VLOOKUP(CONCATENATE($F10,"-",$N$2,"-",N$3),'Look-ups'!$I$3:$M$24,5,FALSE)</f>
        <v>312</v>
      </c>
      <c r="O10">
        <f>VLOOKUP(CONCATENATE($G10,"-",$F10,"-",$N$2),'Look-ups'!$O$3:$S$34,5,FALSE)*VLOOKUP(CONCATENATE($F10,"-",$N$2,"-",O$3),'Look-ups'!$I$3:$M$24,5,FALSE)</f>
        <v>312</v>
      </c>
      <c r="P10">
        <f>VLOOKUP(CONCATENATE($G10,"-",$F10,"-",$N$2),'Look-ups'!$O$3:$S$34,5,FALSE)*VLOOKUP(CONCATENATE($F10,"-",$N$2,"-",P$3),'Look-ups'!$I$3:$M$24,5,FALSE)</f>
        <v>416</v>
      </c>
      <c r="Q10">
        <f>VLOOKUP(CONCATENATE($G10,"-",$F10,"-",$N$2),'Look-ups'!$O$3:$S$34,5,FALSE)*VLOOKUP(CONCATENATE($F10,"-",$N$2,"-",Q$3),'Look-ups'!$I$3:$M$24,5,FALSE)</f>
        <v>534.8571428571429</v>
      </c>
      <c r="R10">
        <f>VLOOKUP(CONCATENATE($G10,"-",$F10,"-",$N$2),'Look-ups'!$O$3:$S$34,5,FALSE)*VLOOKUP(CONCATENATE($F10,"-",$N$2,"-",R$3),'Look-ups'!$I$3:$M$24,5,FALSE)</f>
        <v>609.1428571428571</v>
      </c>
      <c r="S10" s="117">
        <f>VLOOKUP(CONCATENATE($G10,"-",$F10,"-Lone Person"),'Look-ups'!$Y$4:$AG$35,5,FALSE)</f>
        <v>106</v>
      </c>
      <c r="T10">
        <f>VLOOKUP(CONCATENATE($G10,"-",$F10,"-Lone Person"),'Look-ups'!$Y$4:$AG$35,6,FALSE)</f>
        <v>151.58</v>
      </c>
      <c r="U10">
        <f>VLOOKUP(CONCATENATE($G10,"-",$F10,"-Lone Person"),'Look-ups'!$Y$4:$AG$35,7,FALSE)</f>
        <v>181.26000000000002</v>
      </c>
      <c r="V10">
        <f>VLOOKUP(CONCATENATE($G10,"-",$F10,"-Lone Person"),'Look-ups'!$Y$4:$AG$35,8,FALSE)</f>
        <v>221.54000000000002</v>
      </c>
      <c r="W10">
        <f>VLOOKUP(CONCATENATE($G10,"-",$F10,"-Lone Person"),'Look-ups'!$Y$4:$AG$35,9,FALSE)</f>
        <v>210.94</v>
      </c>
      <c r="X10" s="117">
        <f>VLOOKUP(CONCATENATE($G10,"-",$F10,"-Couple Only"),'Look-ups'!$Y$4:$AG$35,5,FALSE)</f>
        <v>171.72</v>
      </c>
      <c r="Y10">
        <f>VLOOKUP(CONCATENATE($G10,"-",$F10,"-Couple Only"),'Look-ups'!$Y$4:$AG$35,6,FALSE)</f>
        <v>162.18</v>
      </c>
      <c r="Z10">
        <f>VLOOKUP(CONCATENATE($G10,"-",$F10,"-Couple Only"),'Look-ups'!$Y$4:$AG$35,7,FALSE)</f>
        <v>183.38</v>
      </c>
      <c r="AA10">
        <f>VLOOKUP(CONCATENATE($G10,"-",$F10,"-Couple Only"),'Look-ups'!$Y$4:$AG$35,8,FALSE)</f>
        <v>202.46</v>
      </c>
      <c r="AB10">
        <f>VLOOKUP(CONCATENATE($G10,"-",$F10,"-Couple Only"),'Look-ups'!$Y$4:$AG$35,9,FALSE)</f>
        <v>254.4</v>
      </c>
      <c r="AC10">
        <v>24</v>
      </c>
      <c r="AD10" t="s">
        <v>164</v>
      </c>
      <c r="AE10" s="260">
        <f>VLOOKUP($AD10,'Look-ups'!$A$122:$G$130,5,FALSE)</f>
        <v>0.09143686502177067</v>
      </c>
      <c r="AF10" s="260">
        <f>VLOOKUP($AD10,'Look-ups'!$A$122:$G$130,6,FALSE)</f>
        <v>0.2815674891146589</v>
      </c>
      <c r="AG10" s="260">
        <f>VLOOKUP($AD10,'Look-ups'!$A$122:$G$130,7,FALSE)</f>
        <v>0.6269956458635704</v>
      </c>
      <c r="AH10" s="264">
        <f>VLOOKUP($AC10,'Look-ups'!$A$50:$AO$118,'Look-ups'!$B$133*4,FALSE)*0.277778</f>
        <v>103.01123319633932</v>
      </c>
      <c r="AI10" s="264">
        <f>VLOOKUP($AC10,'Look-ups'!$A$50:$AO$118,'Look-ups'!$B$133*4+1,FALSE)*0.277778</f>
        <v>16.98886280366069</v>
      </c>
      <c r="AJ10" s="264">
        <f>AE10*$AH10/'Look-ups'!$B$141</f>
        <v>12.312449967973622</v>
      </c>
      <c r="AK10" s="264">
        <f>AF10*$AH10/'Look-ups'!$B$140</f>
        <v>39.732348331092965</v>
      </c>
      <c r="AL10" s="264">
        <f>AG10*$AH10/'Look-ups'!$B$137</f>
        <v>12.302398988407928</v>
      </c>
      <c r="AM10" s="264">
        <f>AI10/'Look-ups'!$B$136</f>
        <v>3.576602695507514</v>
      </c>
      <c r="AN10" s="263">
        <f>AJ10*VLOOKUP($AD10,'Look-ups'!$A$123:$M$130,10,FALSE)</f>
        <v>3.341462116308396</v>
      </c>
      <c r="AO10" s="263">
        <f>AK10*VLOOKUP($AD10,'Look-ups'!$A$123:$M$130,9,FALSE)</f>
        <v>6.128396871284441</v>
      </c>
      <c r="AP10" s="263">
        <f>(AL10+AM10)*VLOOKUP($AD10,'Look-ups'!$A$123:$M$130,8,FALSE)</f>
        <v>4.517348380049807</v>
      </c>
      <c r="AQ10" s="263">
        <f t="shared" si="0"/>
        <v>13.987207367642645</v>
      </c>
      <c r="AR10" s="265">
        <f>AJ10*VLOOKUP($AD10,'Look-ups'!$A$123:$M$130,11,FALSE)</f>
        <v>0.05319127321729613</v>
      </c>
      <c r="AS10" s="265">
        <f>AK10*VLOOKUP($AD10,'Look-ups'!$A$123:$M$130,12,FALSE)</f>
        <v>7.370874858700438</v>
      </c>
      <c r="AT10" s="265">
        <f>(AL10+AM10)*VLOOKUP($AD10,'Look-ups'!$A$123:$M$130,13,FALSE)</f>
        <v>4.087255033439835</v>
      </c>
      <c r="AU10" s="265">
        <f t="shared" si="1"/>
        <v>11.511321165357568</v>
      </c>
      <c r="AW10" t="s">
        <v>308</v>
      </c>
      <c r="AY10" t="s">
        <v>340</v>
      </c>
      <c r="BA10" t="s">
        <v>358</v>
      </c>
      <c r="BC10" t="s">
        <v>377</v>
      </c>
      <c r="BE10" t="s">
        <v>386</v>
      </c>
    </row>
    <row r="11" spans="1:57" ht="15">
      <c r="A11">
        <v>1007</v>
      </c>
      <c r="B11" t="s">
        <v>308</v>
      </c>
      <c r="C11">
        <v>170.115299999999</v>
      </c>
      <c r="D11">
        <v>17588</v>
      </c>
      <c r="E11">
        <v>103.38870166293158</v>
      </c>
      <c r="F11" t="s">
        <v>173</v>
      </c>
      <c r="G11" t="s">
        <v>164</v>
      </c>
      <c r="H11">
        <f>VLOOKUP(CONCATENATE($G11,"-",$F11,"-",$H$2),'Look-ups'!$O$3:$S$34,5,FALSE)*VLOOKUP(CONCATENATE($F11,"-",$H$2,"-",H$3),'Look-ups'!$I$3:$M$24,5,FALSE)</f>
        <v>312.66666666666663</v>
      </c>
      <c r="I11">
        <f>VLOOKUP(CONCATENATE($G11,"-",$F11,"-",$H$2),'Look-ups'!$O$3:$S$34,5,FALSE)*VLOOKUP(CONCATENATE($F11,"-",$H$2,"-",I$3),'Look-ups'!$I$3:$M$24,5,FALSE)</f>
        <v>469</v>
      </c>
      <c r="J11">
        <f>VLOOKUP(CONCATENATE($G11,"-",$F11,"-",$H$2),'Look-ups'!$O$3:$S$34,5,FALSE)*VLOOKUP(CONCATENATE($F11,"-",$H$2,"-",J$3),'Look-ups'!$I$3:$M$24,5,FALSE)</f>
        <v>547.1666666666667</v>
      </c>
      <c r="K11">
        <f>VLOOKUP(CONCATENATE($G11,"-",$F11,"-",$H$2),'Look-ups'!$O$3:$S$34,5,FALSE)*VLOOKUP(CONCATENATE($F11,"-",$H$2,"-",K$3),'Look-ups'!$I$3:$M$24,5,FALSE)</f>
        <v>703.5</v>
      </c>
      <c r="L11">
        <f>VLOOKUP(CONCATENATE($G11,"-",$F11,"-",$H$2),'Look-ups'!$O$3:$S$34,5,FALSE)*VLOOKUP(CONCATENATE($F11,"-",$H$2,"-",L$3),'Look-ups'!$I$3:$M$24,5,FALSE)</f>
        <v>781.6666666666667</v>
      </c>
      <c r="M11">
        <f>VLOOKUP(CONCATENATE($G11,"-",$F11,"-",$H$2),'Look-ups'!$O$3:$S$34,5,FALSE)*VLOOKUP(CONCATENATE($F11,"-",$H$2,"-",M$3),'Look-ups'!$I$3:$M$24,5,FALSE)</f>
        <v>859.8333333333333</v>
      </c>
      <c r="N11">
        <f>VLOOKUP(CONCATENATE($G11,"-",$F11,"-",$N$2),'Look-ups'!$O$3:$S$34,5,FALSE)*VLOOKUP(CONCATENATE($F11,"-",$N$2,"-",N$3),'Look-ups'!$I$3:$M$24,5,FALSE)</f>
        <v>312</v>
      </c>
      <c r="O11">
        <f>VLOOKUP(CONCATENATE($G11,"-",$F11,"-",$N$2),'Look-ups'!$O$3:$S$34,5,FALSE)*VLOOKUP(CONCATENATE($F11,"-",$N$2,"-",O$3),'Look-ups'!$I$3:$M$24,5,FALSE)</f>
        <v>312</v>
      </c>
      <c r="P11">
        <f>VLOOKUP(CONCATENATE($G11,"-",$F11,"-",$N$2),'Look-ups'!$O$3:$S$34,5,FALSE)*VLOOKUP(CONCATENATE($F11,"-",$N$2,"-",P$3),'Look-ups'!$I$3:$M$24,5,FALSE)</f>
        <v>416</v>
      </c>
      <c r="Q11">
        <f>VLOOKUP(CONCATENATE($G11,"-",$F11,"-",$N$2),'Look-ups'!$O$3:$S$34,5,FALSE)*VLOOKUP(CONCATENATE($F11,"-",$N$2,"-",Q$3),'Look-ups'!$I$3:$M$24,5,FALSE)</f>
        <v>534.8571428571429</v>
      </c>
      <c r="R11">
        <f>VLOOKUP(CONCATENATE($G11,"-",$F11,"-",$N$2),'Look-ups'!$O$3:$S$34,5,FALSE)*VLOOKUP(CONCATENATE($F11,"-",$N$2,"-",R$3),'Look-ups'!$I$3:$M$24,5,FALSE)</f>
        <v>609.1428571428571</v>
      </c>
      <c r="S11" s="117">
        <f>VLOOKUP(CONCATENATE($G11,"-",$F11,"-Lone Person"),'Look-ups'!$Y$4:$AG$35,5,FALSE)</f>
        <v>106</v>
      </c>
      <c r="T11">
        <f>VLOOKUP(CONCATENATE($G11,"-",$F11,"-Lone Person"),'Look-ups'!$Y$4:$AG$35,6,FALSE)</f>
        <v>151.58</v>
      </c>
      <c r="U11">
        <f>VLOOKUP(CONCATENATE($G11,"-",$F11,"-Lone Person"),'Look-ups'!$Y$4:$AG$35,7,FALSE)</f>
        <v>181.26000000000002</v>
      </c>
      <c r="V11">
        <f>VLOOKUP(CONCATENATE($G11,"-",$F11,"-Lone Person"),'Look-ups'!$Y$4:$AG$35,8,FALSE)</f>
        <v>221.54000000000002</v>
      </c>
      <c r="W11">
        <f>VLOOKUP(CONCATENATE($G11,"-",$F11,"-Lone Person"),'Look-ups'!$Y$4:$AG$35,9,FALSE)</f>
        <v>210.94</v>
      </c>
      <c r="X11" s="117">
        <f>VLOOKUP(CONCATENATE($G11,"-",$F11,"-Couple Only"),'Look-ups'!$Y$4:$AG$35,5,FALSE)</f>
        <v>171.72</v>
      </c>
      <c r="Y11">
        <f>VLOOKUP(CONCATENATE($G11,"-",$F11,"-Couple Only"),'Look-ups'!$Y$4:$AG$35,6,FALSE)</f>
        <v>162.18</v>
      </c>
      <c r="Z11">
        <f>VLOOKUP(CONCATENATE($G11,"-",$F11,"-Couple Only"),'Look-ups'!$Y$4:$AG$35,7,FALSE)</f>
        <v>183.38</v>
      </c>
      <c r="AA11">
        <f>VLOOKUP(CONCATENATE($G11,"-",$F11,"-Couple Only"),'Look-ups'!$Y$4:$AG$35,8,FALSE)</f>
        <v>202.46</v>
      </c>
      <c r="AB11">
        <f>VLOOKUP(CONCATENATE($G11,"-",$F11,"-Couple Only"),'Look-ups'!$Y$4:$AG$35,9,FALSE)</f>
        <v>254.4</v>
      </c>
      <c r="AC11">
        <v>46</v>
      </c>
      <c r="AD11" t="s">
        <v>164</v>
      </c>
      <c r="AE11" s="260">
        <f>VLOOKUP($AD11,'Look-ups'!$A$122:$G$130,5,FALSE)</f>
        <v>0.09143686502177067</v>
      </c>
      <c r="AF11" s="260">
        <f>VLOOKUP($AD11,'Look-ups'!$A$122:$G$130,6,FALSE)</f>
        <v>0.2815674891146589</v>
      </c>
      <c r="AG11" s="260">
        <f>VLOOKUP($AD11,'Look-ups'!$A$122:$G$130,7,FALSE)</f>
        <v>0.6269956458635704</v>
      </c>
      <c r="AH11" s="264">
        <f>VLOOKUP($AC11,'Look-ups'!$A$50:$AO$118,'Look-ups'!$B$133*4,FALSE)*0.277778</f>
        <v>28.702198805628555</v>
      </c>
      <c r="AI11" s="264">
        <f>VLOOKUP($AC11,'Look-ups'!$A$50:$AO$118,'Look-ups'!$B$133*4+1,FALSE)*0.277778</f>
        <v>23.242287194371446</v>
      </c>
      <c r="AJ11" s="264">
        <f>AE11*$AH11/'Look-ups'!$B$141</f>
        <v>3.430639317670962</v>
      </c>
      <c r="AK11" s="264">
        <f>AF11*$AH11/'Look-ups'!$B$140</f>
        <v>11.070693218863827</v>
      </c>
      <c r="AL11" s="264">
        <f>AG11*$AH11/'Look-ups'!$B$137</f>
        <v>3.4278387957789858</v>
      </c>
      <c r="AM11" s="264">
        <f>AI11/'Look-ups'!$B$136</f>
        <v>4.893113093551883</v>
      </c>
      <c r="AN11" s="263">
        <f>AJ11*VLOOKUP($AD11,'Look-ups'!$A$123:$M$130,10,FALSE)</f>
        <v>0.9310373926012582</v>
      </c>
      <c r="AO11" s="263">
        <f>AK11*VLOOKUP($AD11,'Look-ups'!$A$123:$M$130,9,FALSE)</f>
        <v>1.7075658634639945</v>
      </c>
      <c r="AP11" s="263">
        <f>(AL11+AM11)*VLOOKUP($AD11,'Look-ups'!$A$123:$M$130,8,FALSE)</f>
        <v>2.3671915455375516</v>
      </c>
      <c r="AQ11" s="263">
        <f t="shared" si="0"/>
        <v>5.005794801602804</v>
      </c>
      <c r="AR11" s="265">
        <f>AJ11*VLOOKUP($AD11,'Look-ups'!$A$123:$M$130,11,FALSE)</f>
        <v>0.01482077683408991</v>
      </c>
      <c r="AS11" s="265">
        <f>AK11*VLOOKUP($AD11,'Look-ups'!$A$123:$M$130,12,FALSE)</f>
        <v>2.0537596629155526</v>
      </c>
      <c r="AT11" s="265">
        <f>(AL11+AM11)*VLOOKUP($AD11,'Look-ups'!$A$123:$M$130,13,FALSE)</f>
        <v>2.141813016313766</v>
      </c>
      <c r="AU11" s="265">
        <f t="shared" si="1"/>
        <v>4.210393456063408</v>
      </c>
      <c r="AW11" t="s">
        <v>583</v>
      </c>
      <c r="AY11" t="s">
        <v>341</v>
      </c>
      <c r="BA11" t="s">
        <v>359</v>
      </c>
      <c r="BC11" t="s">
        <v>378</v>
      </c>
      <c r="BE11" t="s">
        <v>387</v>
      </c>
    </row>
    <row r="12" spans="1:57" ht="15">
      <c r="A12">
        <v>1008</v>
      </c>
      <c r="B12" t="s">
        <v>583</v>
      </c>
      <c r="C12">
        <v>39.7770999999999</v>
      </c>
      <c r="D12">
        <v>10914</v>
      </c>
      <c r="E12">
        <v>274.3789768484889</v>
      </c>
      <c r="F12" t="s">
        <v>173</v>
      </c>
      <c r="G12" t="s">
        <v>164</v>
      </c>
      <c r="H12">
        <f>VLOOKUP(CONCATENATE($G12,"-",$F12,"-",$H$2),'Look-ups'!$O$3:$S$34,5,FALSE)*VLOOKUP(CONCATENATE($F12,"-",$H$2,"-",H$3),'Look-ups'!$I$3:$M$24,5,FALSE)</f>
        <v>312.66666666666663</v>
      </c>
      <c r="I12">
        <f>VLOOKUP(CONCATENATE($G12,"-",$F12,"-",$H$2),'Look-ups'!$O$3:$S$34,5,FALSE)*VLOOKUP(CONCATENATE($F12,"-",$H$2,"-",I$3),'Look-ups'!$I$3:$M$24,5,FALSE)</f>
        <v>469</v>
      </c>
      <c r="J12">
        <f>VLOOKUP(CONCATENATE($G12,"-",$F12,"-",$H$2),'Look-ups'!$O$3:$S$34,5,FALSE)*VLOOKUP(CONCATENATE($F12,"-",$H$2,"-",J$3),'Look-ups'!$I$3:$M$24,5,FALSE)</f>
        <v>547.1666666666667</v>
      </c>
      <c r="K12">
        <f>VLOOKUP(CONCATENATE($G12,"-",$F12,"-",$H$2),'Look-ups'!$O$3:$S$34,5,FALSE)*VLOOKUP(CONCATENATE($F12,"-",$H$2,"-",K$3),'Look-ups'!$I$3:$M$24,5,FALSE)</f>
        <v>703.5</v>
      </c>
      <c r="L12">
        <f>VLOOKUP(CONCATENATE($G12,"-",$F12,"-",$H$2),'Look-ups'!$O$3:$S$34,5,FALSE)*VLOOKUP(CONCATENATE($F12,"-",$H$2,"-",L$3),'Look-ups'!$I$3:$M$24,5,FALSE)</f>
        <v>781.6666666666667</v>
      </c>
      <c r="M12">
        <f>VLOOKUP(CONCATENATE($G12,"-",$F12,"-",$H$2),'Look-ups'!$O$3:$S$34,5,FALSE)*VLOOKUP(CONCATENATE($F12,"-",$H$2,"-",M$3),'Look-ups'!$I$3:$M$24,5,FALSE)</f>
        <v>859.8333333333333</v>
      </c>
      <c r="N12">
        <f>VLOOKUP(CONCATENATE($G12,"-",$F12,"-",$N$2),'Look-ups'!$O$3:$S$34,5,FALSE)*VLOOKUP(CONCATENATE($F12,"-",$N$2,"-",N$3),'Look-ups'!$I$3:$M$24,5,FALSE)</f>
        <v>312</v>
      </c>
      <c r="O12">
        <f>VLOOKUP(CONCATENATE($G12,"-",$F12,"-",$N$2),'Look-ups'!$O$3:$S$34,5,FALSE)*VLOOKUP(CONCATENATE($F12,"-",$N$2,"-",O$3),'Look-ups'!$I$3:$M$24,5,FALSE)</f>
        <v>312</v>
      </c>
      <c r="P12">
        <f>VLOOKUP(CONCATENATE($G12,"-",$F12,"-",$N$2),'Look-ups'!$O$3:$S$34,5,FALSE)*VLOOKUP(CONCATENATE($F12,"-",$N$2,"-",P$3),'Look-ups'!$I$3:$M$24,5,FALSE)</f>
        <v>416</v>
      </c>
      <c r="Q12">
        <f>VLOOKUP(CONCATENATE($G12,"-",$F12,"-",$N$2),'Look-ups'!$O$3:$S$34,5,FALSE)*VLOOKUP(CONCATENATE($F12,"-",$N$2,"-",Q$3),'Look-ups'!$I$3:$M$24,5,FALSE)</f>
        <v>534.8571428571429</v>
      </c>
      <c r="R12">
        <f>VLOOKUP(CONCATENATE($G12,"-",$F12,"-",$N$2),'Look-ups'!$O$3:$S$34,5,FALSE)*VLOOKUP(CONCATENATE($F12,"-",$N$2,"-",R$3),'Look-ups'!$I$3:$M$24,5,FALSE)</f>
        <v>609.1428571428571</v>
      </c>
      <c r="S12" s="117">
        <f>VLOOKUP(CONCATENATE($G12,"-",$F12,"-Lone Person"),'Look-ups'!$Y$4:$AG$35,5,FALSE)</f>
        <v>106</v>
      </c>
      <c r="T12">
        <f>VLOOKUP(CONCATENATE($G12,"-",$F12,"-Lone Person"),'Look-ups'!$Y$4:$AG$35,6,FALSE)</f>
        <v>151.58</v>
      </c>
      <c r="U12">
        <f>VLOOKUP(CONCATENATE($G12,"-",$F12,"-Lone Person"),'Look-ups'!$Y$4:$AG$35,7,FALSE)</f>
        <v>181.26000000000002</v>
      </c>
      <c r="V12">
        <f>VLOOKUP(CONCATENATE($G12,"-",$F12,"-Lone Person"),'Look-ups'!$Y$4:$AG$35,8,FALSE)</f>
        <v>221.54000000000002</v>
      </c>
      <c r="W12">
        <f>VLOOKUP(CONCATENATE($G12,"-",$F12,"-Lone Person"),'Look-ups'!$Y$4:$AG$35,9,FALSE)</f>
        <v>210.94</v>
      </c>
      <c r="X12" s="117">
        <f>VLOOKUP(CONCATENATE($G12,"-",$F12,"-Couple Only"),'Look-ups'!$Y$4:$AG$35,5,FALSE)</f>
        <v>171.72</v>
      </c>
      <c r="Y12">
        <f>VLOOKUP(CONCATENATE($G12,"-",$F12,"-Couple Only"),'Look-ups'!$Y$4:$AG$35,6,FALSE)</f>
        <v>162.18</v>
      </c>
      <c r="Z12">
        <f>VLOOKUP(CONCATENATE($G12,"-",$F12,"-Couple Only"),'Look-ups'!$Y$4:$AG$35,7,FALSE)</f>
        <v>183.38</v>
      </c>
      <c r="AA12">
        <f>VLOOKUP(CONCATENATE($G12,"-",$F12,"-Couple Only"),'Look-ups'!$Y$4:$AG$35,8,FALSE)</f>
        <v>202.46</v>
      </c>
      <c r="AB12">
        <f>VLOOKUP(CONCATENATE($G12,"-",$F12,"-Couple Only"),'Look-ups'!$Y$4:$AG$35,9,FALSE)</f>
        <v>254.4</v>
      </c>
      <c r="AC12">
        <v>10</v>
      </c>
      <c r="AD12" t="s">
        <v>164</v>
      </c>
      <c r="AE12" s="260">
        <f>VLOOKUP($AD12,'Look-ups'!$A$122:$G$130,5,FALSE)</f>
        <v>0.09143686502177067</v>
      </c>
      <c r="AF12" s="260">
        <f>VLOOKUP($AD12,'Look-ups'!$A$122:$G$130,6,FALSE)</f>
        <v>0.2815674891146589</v>
      </c>
      <c r="AG12" s="260">
        <f>VLOOKUP($AD12,'Look-ups'!$A$122:$G$130,7,FALSE)</f>
        <v>0.6269956458635704</v>
      </c>
      <c r="AH12" s="264">
        <f>VLOOKUP($AC12,'Look-ups'!$A$50:$AO$118,'Look-ups'!$B$133*4,FALSE)*0.277778</f>
        <v>5.039376206978595</v>
      </c>
      <c r="AI12" s="264">
        <f>VLOOKUP($AC12,'Look-ups'!$A$50:$AO$118,'Look-ups'!$B$133*4+1,FALSE)*0.277778</f>
        <v>28.57176179302141</v>
      </c>
      <c r="AJ12" s="264">
        <f>AE12*$AH12/'Look-ups'!$B$141</f>
        <v>0.6023330222633001</v>
      </c>
      <c r="AK12" s="264">
        <f>AF12*$AH12/'Look-ups'!$B$140</f>
        <v>1.943732199045365</v>
      </c>
      <c r="AL12" s="264">
        <f>AG12*$AH12/'Look-ups'!$B$137</f>
        <v>0.6018413218369626</v>
      </c>
      <c r="AM12" s="264">
        <f>AI12/'Look-ups'!$B$136</f>
        <v>6.015107745899244</v>
      </c>
      <c r="AN12" s="263">
        <f>AJ12*VLOOKUP($AD12,'Look-ups'!$A$123:$M$130,10,FALSE)</f>
        <v>0.16346648965312335</v>
      </c>
      <c r="AO12" s="263">
        <f>AK12*VLOOKUP($AD12,'Look-ups'!$A$123:$M$130,9,FALSE)</f>
        <v>0.2998051418451552</v>
      </c>
      <c r="AP12" s="263">
        <f>(AL12+AM12)*VLOOKUP($AD12,'Look-ups'!$A$123:$M$130,8,FALSE)</f>
        <v>1.882427166834313</v>
      </c>
      <c r="AQ12" s="263">
        <f t="shared" si="0"/>
        <v>2.3456987983325917</v>
      </c>
      <c r="AR12" s="265">
        <f>AJ12*VLOOKUP($AD12,'Look-ups'!$A$123:$M$130,11,FALSE)</f>
        <v>0.002602151516419916</v>
      </c>
      <c r="AS12" s="265">
        <f>AK12*VLOOKUP($AD12,'Look-ups'!$A$123:$M$130,12,FALSE)</f>
        <v>0.36058796924364644</v>
      </c>
      <c r="AT12" s="265">
        <f>(AL12+AM12)*VLOOKUP($AD12,'Look-ups'!$A$123:$M$130,13,FALSE)</f>
        <v>1.7032026900352997</v>
      </c>
      <c r="AU12" s="265">
        <f t="shared" si="1"/>
        <v>2.066392810795366</v>
      </c>
      <c r="AW12" t="s">
        <v>309</v>
      </c>
      <c r="AY12" t="s">
        <v>586</v>
      </c>
      <c r="BA12" t="s">
        <v>360</v>
      </c>
      <c r="BE12" t="s">
        <v>388</v>
      </c>
    </row>
    <row r="13" spans="1:57" ht="15">
      <c r="A13">
        <v>1009</v>
      </c>
      <c r="B13" t="s">
        <v>309</v>
      </c>
      <c r="C13">
        <v>524.9062</v>
      </c>
      <c r="D13">
        <v>18484</v>
      </c>
      <c r="E13">
        <v>35.213910599646184</v>
      </c>
      <c r="F13" t="s">
        <v>173</v>
      </c>
      <c r="G13" t="s">
        <v>164</v>
      </c>
      <c r="H13">
        <f>VLOOKUP(CONCATENATE($G13,"-",$F13,"-",$H$2),'Look-ups'!$O$3:$S$34,5,FALSE)*VLOOKUP(CONCATENATE($F13,"-",$H$2,"-",H$3),'Look-ups'!$I$3:$M$24,5,FALSE)</f>
        <v>312.66666666666663</v>
      </c>
      <c r="I13">
        <f>VLOOKUP(CONCATENATE($G13,"-",$F13,"-",$H$2),'Look-ups'!$O$3:$S$34,5,FALSE)*VLOOKUP(CONCATENATE($F13,"-",$H$2,"-",I$3),'Look-ups'!$I$3:$M$24,5,FALSE)</f>
        <v>469</v>
      </c>
      <c r="J13">
        <f>VLOOKUP(CONCATENATE($G13,"-",$F13,"-",$H$2),'Look-ups'!$O$3:$S$34,5,FALSE)*VLOOKUP(CONCATENATE($F13,"-",$H$2,"-",J$3),'Look-ups'!$I$3:$M$24,5,FALSE)</f>
        <v>547.1666666666667</v>
      </c>
      <c r="K13">
        <f>VLOOKUP(CONCATENATE($G13,"-",$F13,"-",$H$2),'Look-ups'!$O$3:$S$34,5,FALSE)*VLOOKUP(CONCATENATE($F13,"-",$H$2,"-",K$3),'Look-ups'!$I$3:$M$24,5,FALSE)</f>
        <v>703.5</v>
      </c>
      <c r="L13">
        <f>VLOOKUP(CONCATENATE($G13,"-",$F13,"-",$H$2),'Look-ups'!$O$3:$S$34,5,FALSE)*VLOOKUP(CONCATENATE($F13,"-",$H$2,"-",L$3),'Look-ups'!$I$3:$M$24,5,FALSE)</f>
        <v>781.6666666666667</v>
      </c>
      <c r="M13">
        <f>VLOOKUP(CONCATENATE($G13,"-",$F13,"-",$H$2),'Look-ups'!$O$3:$S$34,5,FALSE)*VLOOKUP(CONCATENATE($F13,"-",$H$2,"-",M$3),'Look-ups'!$I$3:$M$24,5,FALSE)</f>
        <v>859.8333333333333</v>
      </c>
      <c r="N13">
        <f>VLOOKUP(CONCATENATE($G13,"-",$F13,"-",$N$2),'Look-ups'!$O$3:$S$34,5,FALSE)*VLOOKUP(CONCATENATE($F13,"-",$N$2,"-",N$3),'Look-ups'!$I$3:$M$24,5,FALSE)</f>
        <v>312</v>
      </c>
      <c r="O13">
        <f>VLOOKUP(CONCATENATE($G13,"-",$F13,"-",$N$2),'Look-ups'!$O$3:$S$34,5,FALSE)*VLOOKUP(CONCATENATE($F13,"-",$N$2,"-",O$3),'Look-ups'!$I$3:$M$24,5,FALSE)</f>
        <v>312</v>
      </c>
      <c r="P13">
        <f>VLOOKUP(CONCATENATE($G13,"-",$F13,"-",$N$2),'Look-ups'!$O$3:$S$34,5,FALSE)*VLOOKUP(CONCATENATE($F13,"-",$N$2,"-",P$3),'Look-ups'!$I$3:$M$24,5,FALSE)</f>
        <v>416</v>
      </c>
      <c r="Q13">
        <f>VLOOKUP(CONCATENATE($G13,"-",$F13,"-",$N$2),'Look-ups'!$O$3:$S$34,5,FALSE)*VLOOKUP(CONCATENATE($F13,"-",$N$2,"-",Q$3),'Look-ups'!$I$3:$M$24,5,FALSE)</f>
        <v>534.8571428571429</v>
      </c>
      <c r="R13">
        <f>VLOOKUP(CONCATENATE($G13,"-",$F13,"-",$N$2),'Look-ups'!$O$3:$S$34,5,FALSE)*VLOOKUP(CONCATENATE($F13,"-",$N$2,"-",R$3),'Look-ups'!$I$3:$M$24,5,FALSE)</f>
        <v>609.1428571428571</v>
      </c>
      <c r="S13" s="117">
        <f>VLOOKUP(CONCATENATE($G13,"-",$F13,"-Lone Person"),'Look-ups'!$Y$4:$AG$35,5,FALSE)</f>
        <v>106</v>
      </c>
      <c r="T13">
        <f>VLOOKUP(CONCATENATE($G13,"-",$F13,"-Lone Person"),'Look-ups'!$Y$4:$AG$35,6,FALSE)</f>
        <v>151.58</v>
      </c>
      <c r="U13">
        <f>VLOOKUP(CONCATENATE($G13,"-",$F13,"-Lone Person"),'Look-ups'!$Y$4:$AG$35,7,FALSE)</f>
        <v>181.26000000000002</v>
      </c>
      <c r="V13">
        <f>VLOOKUP(CONCATENATE($G13,"-",$F13,"-Lone Person"),'Look-ups'!$Y$4:$AG$35,8,FALSE)</f>
        <v>221.54000000000002</v>
      </c>
      <c r="W13">
        <f>VLOOKUP(CONCATENATE($G13,"-",$F13,"-Lone Person"),'Look-ups'!$Y$4:$AG$35,9,FALSE)</f>
        <v>210.94</v>
      </c>
      <c r="X13" s="117">
        <f>VLOOKUP(CONCATENATE($G13,"-",$F13,"-Couple Only"),'Look-ups'!$Y$4:$AG$35,5,FALSE)</f>
        <v>171.72</v>
      </c>
      <c r="Y13">
        <f>VLOOKUP(CONCATENATE($G13,"-",$F13,"-Couple Only"),'Look-ups'!$Y$4:$AG$35,6,FALSE)</f>
        <v>162.18</v>
      </c>
      <c r="Z13">
        <f>VLOOKUP(CONCATENATE($G13,"-",$F13,"-Couple Only"),'Look-ups'!$Y$4:$AG$35,7,FALSE)</f>
        <v>183.38</v>
      </c>
      <c r="AA13">
        <f>VLOOKUP(CONCATENATE($G13,"-",$F13,"-Couple Only"),'Look-ups'!$Y$4:$AG$35,8,FALSE)</f>
        <v>202.46</v>
      </c>
      <c r="AB13">
        <f>VLOOKUP(CONCATENATE($G13,"-",$F13,"-Couple Only"),'Look-ups'!$Y$4:$AG$35,9,FALSE)</f>
        <v>254.4</v>
      </c>
      <c r="AC13">
        <v>15</v>
      </c>
      <c r="AD13" t="s">
        <v>164</v>
      </c>
      <c r="AE13" s="260">
        <f>VLOOKUP($AD13,'Look-ups'!$A$122:$G$130,5,FALSE)</f>
        <v>0.09143686502177067</v>
      </c>
      <c r="AF13" s="260">
        <f>VLOOKUP($AD13,'Look-ups'!$A$122:$G$130,6,FALSE)</f>
        <v>0.2815674891146589</v>
      </c>
      <c r="AG13" s="260">
        <f>VLOOKUP($AD13,'Look-ups'!$A$122:$G$130,7,FALSE)</f>
        <v>0.6269956458635704</v>
      </c>
      <c r="AH13" s="264">
        <f>VLOOKUP($AC13,'Look-ups'!$A$50:$AO$118,'Look-ups'!$B$133*4,FALSE)*0.277778</f>
        <v>18.72728904402556</v>
      </c>
      <c r="AI13" s="264">
        <f>VLOOKUP($AC13,'Look-ups'!$A$50:$AO$118,'Look-ups'!$B$133*4+1,FALSE)*0.277778</f>
        <v>17.939406955974444</v>
      </c>
      <c r="AJ13" s="264">
        <f>AE13*$AH13/'Look-ups'!$B$141</f>
        <v>2.2383850987480396</v>
      </c>
      <c r="AK13" s="264">
        <f>AF13*$AH13/'Look-ups'!$B$140</f>
        <v>7.223281854864025</v>
      </c>
      <c r="AL13" s="264">
        <f>AG13*$AH13/'Look-ups'!$B$137</f>
        <v>2.236557845606204</v>
      </c>
      <c r="AM13" s="264">
        <f>AI13/'Look-ups'!$B$136</f>
        <v>3.7767172538893568</v>
      </c>
      <c r="AN13" s="263">
        <f>AJ13*VLOOKUP($AD13,'Look-ups'!$A$123:$M$130,10,FALSE)</f>
        <v>0.6074728448546762</v>
      </c>
      <c r="AO13" s="263">
        <f>AK13*VLOOKUP($AD13,'Look-ups'!$A$123:$M$130,9,FALSE)</f>
        <v>1.114133439857937</v>
      </c>
      <c r="AP13" s="263">
        <f>(AL13+AM13)*VLOOKUP($AD13,'Look-ups'!$A$123:$M$130,8,FALSE)</f>
        <v>1.7106905755300605</v>
      </c>
      <c r="AQ13" s="263">
        <f t="shared" si="0"/>
        <v>3.4322968602426736</v>
      </c>
      <c r="AR13" s="265">
        <f>AJ13*VLOOKUP($AD13,'Look-ups'!$A$123:$M$130,11,FALSE)</f>
        <v>0.009670094389234428</v>
      </c>
      <c r="AS13" s="265">
        <f>AK13*VLOOKUP($AD13,'Look-ups'!$A$123:$M$130,12,FALSE)</f>
        <v>1.340014090726656</v>
      </c>
      <c r="AT13" s="265">
        <f>(AL13+AM13)*VLOOKUP($AD13,'Look-ups'!$A$123:$M$130,13,FALSE)</f>
        <v>1.5478170106101574</v>
      </c>
      <c r="AU13" s="265">
        <f t="shared" si="1"/>
        <v>2.897501195726048</v>
      </c>
      <c r="AW13" t="s">
        <v>310</v>
      </c>
      <c r="AY13" t="s">
        <v>342</v>
      </c>
      <c r="BA13" t="s">
        <v>361</v>
      </c>
      <c r="BE13" t="s">
        <v>389</v>
      </c>
    </row>
    <row r="14" spans="1:53" ht="15">
      <c r="A14">
        <v>1010</v>
      </c>
      <c r="B14" t="s">
        <v>310</v>
      </c>
      <c r="C14">
        <v>1334.2426</v>
      </c>
      <c r="D14">
        <v>343180</v>
      </c>
      <c r="E14">
        <v>257.20959591606504</v>
      </c>
      <c r="F14" t="s">
        <v>173</v>
      </c>
      <c r="G14" t="s">
        <v>164</v>
      </c>
      <c r="H14">
        <f>VLOOKUP(CONCATENATE($G14,"-",$F14,"-",$H$2),'Look-ups'!$O$3:$S$34,5,FALSE)*VLOOKUP(CONCATENATE($F14,"-",$H$2,"-",H$3),'Look-ups'!$I$3:$M$24,5,FALSE)</f>
        <v>312.66666666666663</v>
      </c>
      <c r="I14">
        <f>VLOOKUP(CONCATENATE($G14,"-",$F14,"-",$H$2),'Look-ups'!$O$3:$S$34,5,FALSE)*VLOOKUP(CONCATENATE($F14,"-",$H$2,"-",I$3),'Look-ups'!$I$3:$M$24,5,FALSE)</f>
        <v>469</v>
      </c>
      <c r="J14">
        <f>VLOOKUP(CONCATENATE($G14,"-",$F14,"-",$H$2),'Look-ups'!$O$3:$S$34,5,FALSE)*VLOOKUP(CONCATENATE($F14,"-",$H$2,"-",J$3),'Look-ups'!$I$3:$M$24,5,FALSE)</f>
        <v>547.1666666666667</v>
      </c>
      <c r="K14">
        <f>VLOOKUP(CONCATENATE($G14,"-",$F14,"-",$H$2),'Look-ups'!$O$3:$S$34,5,FALSE)*VLOOKUP(CONCATENATE($F14,"-",$H$2,"-",K$3),'Look-ups'!$I$3:$M$24,5,FALSE)</f>
        <v>703.5</v>
      </c>
      <c r="L14">
        <f>VLOOKUP(CONCATENATE($G14,"-",$F14,"-",$H$2),'Look-ups'!$O$3:$S$34,5,FALSE)*VLOOKUP(CONCATENATE($F14,"-",$H$2,"-",L$3),'Look-ups'!$I$3:$M$24,5,FALSE)</f>
        <v>781.6666666666667</v>
      </c>
      <c r="M14">
        <f>VLOOKUP(CONCATENATE($G14,"-",$F14,"-",$H$2),'Look-ups'!$O$3:$S$34,5,FALSE)*VLOOKUP(CONCATENATE($F14,"-",$H$2,"-",M$3),'Look-ups'!$I$3:$M$24,5,FALSE)</f>
        <v>859.8333333333333</v>
      </c>
      <c r="N14">
        <f>VLOOKUP(CONCATENATE($G14,"-",$F14,"-",$N$2),'Look-ups'!$O$3:$S$34,5,FALSE)*VLOOKUP(CONCATENATE($F14,"-",$N$2,"-",N$3),'Look-ups'!$I$3:$M$24,5,FALSE)</f>
        <v>312</v>
      </c>
      <c r="O14">
        <f>VLOOKUP(CONCATENATE($G14,"-",$F14,"-",$N$2),'Look-ups'!$O$3:$S$34,5,FALSE)*VLOOKUP(CONCATENATE($F14,"-",$N$2,"-",O$3),'Look-ups'!$I$3:$M$24,5,FALSE)</f>
        <v>312</v>
      </c>
      <c r="P14">
        <f>VLOOKUP(CONCATENATE($G14,"-",$F14,"-",$N$2),'Look-ups'!$O$3:$S$34,5,FALSE)*VLOOKUP(CONCATENATE($F14,"-",$N$2,"-",P$3),'Look-ups'!$I$3:$M$24,5,FALSE)</f>
        <v>416</v>
      </c>
      <c r="Q14">
        <f>VLOOKUP(CONCATENATE($G14,"-",$F14,"-",$N$2),'Look-ups'!$O$3:$S$34,5,FALSE)*VLOOKUP(CONCATENATE($F14,"-",$N$2,"-",Q$3),'Look-ups'!$I$3:$M$24,5,FALSE)</f>
        <v>534.8571428571429</v>
      </c>
      <c r="R14">
        <f>VLOOKUP(CONCATENATE($G14,"-",$F14,"-",$N$2),'Look-ups'!$O$3:$S$34,5,FALSE)*VLOOKUP(CONCATENATE($F14,"-",$N$2,"-",R$3),'Look-ups'!$I$3:$M$24,5,FALSE)</f>
        <v>609.1428571428571</v>
      </c>
      <c r="S14" s="117">
        <f>VLOOKUP(CONCATENATE($G14,"-",$F14,"-Lone Person"),'Look-ups'!$Y$4:$AG$35,5,FALSE)</f>
        <v>106</v>
      </c>
      <c r="T14">
        <f>VLOOKUP(CONCATENATE($G14,"-",$F14,"-Lone Person"),'Look-ups'!$Y$4:$AG$35,6,FALSE)</f>
        <v>151.58</v>
      </c>
      <c r="U14">
        <f>VLOOKUP(CONCATENATE($G14,"-",$F14,"-Lone Person"),'Look-ups'!$Y$4:$AG$35,7,FALSE)</f>
        <v>181.26000000000002</v>
      </c>
      <c r="V14">
        <f>VLOOKUP(CONCATENATE($G14,"-",$F14,"-Lone Person"),'Look-ups'!$Y$4:$AG$35,8,FALSE)</f>
        <v>221.54000000000002</v>
      </c>
      <c r="W14">
        <f>VLOOKUP(CONCATENATE($G14,"-",$F14,"-Lone Person"),'Look-ups'!$Y$4:$AG$35,9,FALSE)</f>
        <v>210.94</v>
      </c>
      <c r="X14" s="117">
        <f>VLOOKUP(CONCATENATE($G14,"-",$F14,"-Couple Only"),'Look-ups'!$Y$4:$AG$35,5,FALSE)</f>
        <v>171.72</v>
      </c>
      <c r="Y14">
        <f>VLOOKUP(CONCATENATE($G14,"-",$F14,"-Couple Only"),'Look-ups'!$Y$4:$AG$35,6,FALSE)</f>
        <v>162.18</v>
      </c>
      <c r="Z14">
        <f>VLOOKUP(CONCATENATE($G14,"-",$F14,"-Couple Only"),'Look-ups'!$Y$4:$AG$35,7,FALSE)</f>
        <v>183.38</v>
      </c>
      <c r="AA14">
        <f>VLOOKUP(CONCATENATE($G14,"-",$F14,"-Couple Only"),'Look-ups'!$Y$4:$AG$35,8,FALSE)</f>
        <v>202.46</v>
      </c>
      <c r="AB14">
        <f>VLOOKUP(CONCATENATE($G14,"-",$F14,"-Couple Only"),'Look-ups'!$Y$4:$AG$35,9,FALSE)</f>
        <v>254.4</v>
      </c>
      <c r="AC14">
        <v>15</v>
      </c>
      <c r="AD14" t="s">
        <v>164</v>
      </c>
      <c r="AE14" s="260">
        <f>VLOOKUP($AD14,'Look-ups'!$A$122:$G$130,5,FALSE)</f>
        <v>0.09143686502177067</v>
      </c>
      <c r="AF14" s="260">
        <f>VLOOKUP($AD14,'Look-ups'!$A$122:$G$130,6,FALSE)</f>
        <v>0.2815674891146589</v>
      </c>
      <c r="AG14" s="260">
        <f>VLOOKUP($AD14,'Look-ups'!$A$122:$G$130,7,FALSE)</f>
        <v>0.6269956458635704</v>
      </c>
      <c r="AH14" s="264">
        <f>VLOOKUP($AC14,'Look-ups'!$A$50:$AO$118,'Look-ups'!$B$133*4,FALSE)*0.277778</f>
        <v>18.72728904402556</v>
      </c>
      <c r="AI14" s="264">
        <f>VLOOKUP($AC14,'Look-ups'!$A$50:$AO$118,'Look-ups'!$B$133*4+1,FALSE)*0.277778</f>
        <v>17.939406955974444</v>
      </c>
      <c r="AJ14" s="264">
        <f>AE14*$AH14/'Look-ups'!$B$141</f>
        <v>2.2383850987480396</v>
      </c>
      <c r="AK14" s="264">
        <f>AF14*$AH14/'Look-ups'!$B$140</f>
        <v>7.223281854864025</v>
      </c>
      <c r="AL14" s="264">
        <f>AG14*$AH14/'Look-ups'!$B$137</f>
        <v>2.236557845606204</v>
      </c>
      <c r="AM14" s="264">
        <f>AI14/'Look-ups'!$B$136</f>
        <v>3.7767172538893568</v>
      </c>
      <c r="AN14" s="263">
        <f>AJ14*VLOOKUP($AD14,'Look-ups'!$A$123:$M$130,10,FALSE)</f>
        <v>0.6074728448546762</v>
      </c>
      <c r="AO14" s="263">
        <f>AK14*VLOOKUP($AD14,'Look-ups'!$A$123:$M$130,9,FALSE)</f>
        <v>1.114133439857937</v>
      </c>
      <c r="AP14" s="263">
        <f>(AL14+AM14)*VLOOKUP($AD14,'Look-ups'!$A$123:$M$130,8,FALSE)</f>
        <v>1.7106905755300605</v>
      </c>
      <c r="AQ14" s="263">
        <f t="shared" si="0"/>
        <v>3.4322968602426736</v>
      </c>
      <c r="AR14" s="265">
        <f>AJ14*VLOOKUP($AD14,'Look-ups'!$A$123:$M$130,11,FALSE)</f>
        <v>0.009670094389234428</v>
      </c>
      <c r="AS14" s="265">
        <f>AK14*VLOOKUP($AD14,'Look-ups'!$A$123:$M$130,12,FALSE)</f>
        <v>1.340014090726656</v>
      </c>
      <c r="AT14" s="265">
        <f>(AL14+AM14)*VLOOKUP($AD14,'Look-ups'!$A$123:$M$130,13,FALSE)</f>
        <v>1.5478170106101574</v>
      </c>
      <c r="AU14" s="265">
        <f t="shared" si="1"/>
        <v>2.897501195726048</v>
      </c>
      <c r="AW14" t="s">
        <v>311</v>
      </c>
      <c r="AY14" t="s">
        <v>343</v>
      </c>
      <c r="BA14" t="s">
        <v>362</v>
      </c>
    </row>
    <row r="15" spans="1:53" ht="15">
      <c r="A15">
        <v>1011</v>
      </c>
      <c r="B15" t="s">
        <v>311</v>
      </c>
      <c r="C15">
        <v>505.5228</v>
      </c>
      <c r="D15">
        <v>74195</v>
      </c>
      <c r="E15">
        <v>146.76884999054442</v>
      </c>
      <c r="F15" t="s">
        <v>173</v>
      </c>
      <c r="G15" t="s">
        <v>164</v>
      </c>
      <c r="H15">
        <f>VLOOKUP(CONCATENATE($G15,"-",$F15,"-",$H$2),'Look-ups'!$O$3:$S$34,5,FALSE)*VLOOKUP(CONCATENATE($F15,"-",$H$2,"-",H$3),'Look-ups'!$I$3:$M$24,5,FALSE)</f>
        <v>312.66666666666663</v>
      </c>
      <c r="I15">
        <f>VLOOKUP(CONCATENATE($G15,"-",$F15,"-",$H$2),'Look-ups'!$O$3:$S$34,5,FALSE)*VLOOKUP(CONCATENATE($F15,"-",$H$2,"-",I$3),'Look-ups'!$I$3:$M$24,5,FALSE)</f>
        <v>469</v>
      </c>
      <c r="J15">
        <f>VLOOKUP(CONCATENATE($G15,"-",$F15,"-",$H$2),'Look-ups'!$O$3:$S$34,5,FALSE)*VLOOKUP(CONCATENATE($F15,"-",$H$2,"-",J$3),'Look-ups'!$I$3:$M$24,5,FALSE)</f>
        <v>547.1666666666667</v>
      </c>
      <c r="K15">
        <f>VLOOKUP(CONCATENATE($G15,"-",$F15,"-",$H$2),'Look-ups'!$O$3:$S$34,5,FALSE)*VLOOKUP(CONCATENATE($F15,"-",$H$2,"-",K$3),'Look-ups'!$I$3:$M$24,5,FALSE)</f>
        <v>703.5</v>
      </c>
      <c r="L15">
        <f>VLOOKUP(CONCATENATE($G15,"-",$F15,"-",$H$2),'Look-ups'!$O$3:$S$34,5,FALSE)*VLOOKUP(CONCATENATE($F15,"-",$H$2,"-",L$3),'Look-ups'!$I$3:$M$24,5,FALSE)</f>
        <v>781.6666666666667</v>
      </c>
      <c r="M15">
        <f>VLOOKUP(CONCATENATE($G15,"-",$F15,"-",$H$2),'Look-ups'!$O$3:$S$34,5,FALSE)*VLOOKUP(CONCATENATE($F15,"-",$H$2,"-",M$3),'Look-ups'!$I$3:$M$24,5,FALSE)</f>
        <v>859.8333333333333</v>
      </c>
      <c r="N15">
        <f>VLOOKUP(CONCATENATE($G15,"-",$F15,"-",$N$2),'Look-ups'!$O$3:$S$34,5,FALSE)*VLOOKUP(CONCATENATE($F15,"-",$N$2,"-",N$3),'Look-ups'!$I$3:$M$24,5,FALSE)</f>
        <v>312</v>
      </c>
      <c r="O15">
        <f>VLOOKUP(CONCATENATE($G15,"-",$F15,"-",$N$2),'Look-ups'!$O$3:$S$34,5,FALSE)*VLOOKUP(CONCATENATE($F15,"-",$N$2,"-",O$3),'Look-ups'!$I$3:$M$24,5,FALSE)</f>
        <v>312</v>
      </c>
      <c r="P15">
        <f>VLOOKUP(CONCATENATE($G15,"-",$F15,"-",$N$2),'Look-ups'!$O$3:$S$34,5,FALSE)*VLOOKUP(CONCATENATE($F15,"-",$N$2,"-",P$3),'Look-ups'!$I$3:$M$24,5,FALSE)</f>
        <v>416</v>
      </c>
      <c r="Q15">
        <f>VLOOKUP(CONCATENATE($G15,"-",$F15,"-",$N$2),'Look-ups'!$O$3:$S$34,5,FALSE)*VLOOKUP(CONCATENATE($F15,"-",$N$2,"-",Q$3),'Look-ups'!$I$3:$M$24,5,FALSE)</f>
        <v>534.8571428571429</v>
      </c>
      <c r="R15">
        <f>VLOOKUP(CONCATENATE($G15,"-",$F15,"-",$N$2),'Look-ups'!$O$3:$S$34,5,FALSE)*VLOOKUP(CONCATENATE($F15,"-",$N$2,"-",R$3),'Look-ups'!$I$3:$M$24,5,FALSE)</f>
        <v>609.1428571428571</v>
      </c>
      <c r="S15" s="117">
        <f>VLOOKUP(CONCATENATE($G15,"-",$F15,"-Lone Person"),'Look-ups'!$Y$4:$AG$35,5,FALSE)</f>
        <v>106</v>
      </c>
      <c r="T15">
        <f>VLOOKUP(CONCATENATE($G15,"-",$F15,"-Lone Person"),'Look-ups'!$Y$4:$AG$35,6,FALSE)</f>
        <v>151.58</v>
      </c>
      <c r="U15">
        <f>VLOOKUP(CONCATENATE($G15,"-",$F15,"-Lone Person"),'Look-ups'!$Y$4:$AG$35,7,FALSE)</f>
        <v>181.26000000000002</v>
      </c>
      <c r="V15">
        <f>VLOOKUP(CONCATENATE($G15,"-",$F15,"-Lone Person"),'Look-ups'!$Y$4:$AG$35,8,FALSE)</f>
        <v>221.54000000000002</v>
      </c>
      <c r="W15">
        <f>VLOOKUP(CONCATENATE($G15,"-",$F15,"-Lone Person"),'Look-ups'!$Y$4:$AG$35,9,FALSE)</f>
        <v>210.94</v>
      </c>
      <c r="X15" s="117">
        <f>VLOOKUP(CONCATENATE($G15,"-",$F15,"-Couple Only"),'Look-ups'!$Y$4:$AG$35,5,FALSE)</f>
        <v>171.72</v>
      </c>
      <c r="Y15">
        <f>VLOOKUP(CONCATENATE($G15,"-",$F15,"-Couple Only"),'Look-ups'!$Y$4:$AG$35,6,FALSE)</f>
        <v>162.18</v>
      </c>
      <c r="Z15">
        <f>VLOOKUP(CONCATENATE($G15,"-",$F15,"-Couple Only"),'Look-ups'!$Y$4:$AG$35,7,FALSE)</f>
        <v>183.38</v>
      </c>
      <c r="AA15">
        <f>VLOOKUP(CONCATENATE($G15,"-",$F15,"-Couple Only"),'Look-ups'!$Y$4:$AG$35,8,FALSE)</f>
        <v>202.46</v>
      </c>
      <c r="AB15">
        <f>VLOOKUP(CONCATENATE($G15,"-",$F15,"-Couple Only"),'Look-ups'!$Y$4:$AG$35,9,FALSE)</f>
        <v>254.4</v>
      </c>
      <c r="AC15">
        <v>11</v>
      </c>
      <c r="AD15" t="s">
        <v>164</v>
      </c>
      <c r="AE15" s="260">
        <f>VLOOKUP($AD15,'Look-ups'!$A$122:$G$130,5,FALSE)</f>
        <v>0.09143686502177067</v>
      </c>
      <c r="AF15" s="260">
        <f>VLOOKUP($AD15,'Look-ups'!$A$122:$G$130,6,FALSE)</f>
        <v>0.2815674891146589</v>
      </c>
      <c r="AG15" s="260">
        <f>VLOOKUP($AD15,'Look-ups'!$A$122:$G$130,7,FALSE)</f>
        <v>0.6269956458635704</v>
      </c>
      <c r="AH15" s="264">
        <f>VLOOKUP($AC15,'Look-ups'!$A$50:$AO$118,'Look-ups'!$B$133*4,FALSE)*0.277778</f>
        <v>7.719494328746668</v>
      </c>
      <c r="AI15" s="264">
        <f>VLOOKUP($AC15,'Look-ups'!$A$50:$AO$118,'Look-ups'!$B$133*4+1,FALSE)*0.277778</f>
        <v>18.947193671253334</v>
      </c>
      <c r="AJ15" s="264">
        <f>AE15*$AH15/'Look-ups'!$B$141</f>
        <v>0.9226749816652724</v>
      </c>
      <c r="AK15" s="264">
        <f>AF15*$AH15/'Look-ups'!$B$140</f>
        <v>2.977477582712395</v>
      </c>
      <c r="AL15" s="264">
        <f>AG15*$AH15/'Look-ups'!$B$137</f>
        <v>0.9219217775986068</v>
      </c>
      <c r="AM15" s="264">
        <f>AI15/'Look-ups'!$B$136</f>
        <v>3.9888828781585968</v>
      </c>
      <c r="AN15" s="263">
        <f>AJ15*VLOOKUP($AD15,'Look-ups'!$A$123:$M$130,10,FALSE)</f>
        <v>0.25040373807971417</v>
      </c>
      <c r="AO15" s="263">
        <f>AK15*VLOOKUP($AD15,'Look-ups'!$A$123:$M$130,9,FALSE)</f>
        <v>0.4592520973127253</v>
      </c>
      <c r="AP15" s="263">
        <f>(AL15+AM15)*VLOOKUP($AD15,'Look-ups'!$A$123:$M$130,8,FALSE)</f>
        <v>1.3970535363628585</v>
      </c>
      <c r="AQ15" s="263">
        <f t="shared" si="0"/>
        <v>2.106709371755298</v>
      </c>
      <c r="AR15" s="265">
        <f>AJ15*VLOOKUP($AD15,'Look-ups'!$A$123:$M$130,11,FALSE)</f>
        <v>0.003986067530684836</v>
      </c>
      <c r="AS15" s="265">
        <f>AK15*VLOOKUP($AD15,'Look-ups'!$A$123:$M$130,12,FALSE)</f>
        <v>0.5523613775323819</v>
      </c>
      <c r="AT15" s="265">
        <f>(AL15+AM15)*VLOOKUP($AD15,'Look-ups'!$A$123:$M$130,13,FALSE)</f>
        <v>1.2640411183919043</v>
      </c>
      <c r="AU15" s="265">
        <f t="shared" si="1"/>
        <v>1.820388563454971</v>
      </c>
      <c r="AW15" t="s">
        <v>312</v>
      </c>
      <c r="AY15" t="s">
        <v>587</v>
      </c>
      <c r="BA15" t="s">
        <v>363</v>
      </c>
    </row>
    <row r="16" spans="1:53" ht="15">
      <c r="A16">
        <v>1012</v>
      </c>
      <c r="B16" t="s">
        <v>312</v>
      </c>
      <c r="C16">
        <v>182.5608</v>
      </c>
      <c r="D16">
        <v>40578</v>
      </c>
      <c r="E16">
        <v>222.27115569169285</v>
      </c>
      <c r="F16" t="s">
        <v>173</v>
      </c>
      <c r="G16" t="s">
        <v>164</v>
      </c>
      <c r="H16">
        <f>VLOOKUP(CONCATENATE($G16,"-",$F16,"-",$H$2),'Look-ups'!$O$3:$S$34,5,FALSE)*VLOOKUP(CONCATENATE($F16,"-",$H$2,"-",H$3),'Look-ups'!$I$3:$M$24,5,FALSE)</f>
        <v>312.66666666666663</v>
      </c>
      <c r="I16">
        <f>VLOOKUP(CONCATENATE($G16,"-",$F16,"-",$H$2),'Look-ups'!$O$3:$S$34,5,FALSE)*VLOOKUP(CONCATENATE($F16,"-",$H$2,"-",I$3),'Look-ups'!$I$3:$M$24,5,FALSE)</f>
        <v>469</v>
      </c>
      <c r="J16">
        <f>VLOOKUP(CONCATENATE($G16,"-",$F16,"-",$H$2),'Look-ups'!$O$3:$S$34,5,FALSE)*VLOOKUP(CONCATENATE($F16,"-",$H$2,"-",J$3),'Look-ups'!$I$3:$M$24,5,FALSE)</f>
        <v>547.1666666666667</v>
      </c>
      <c r="K16">
        <f>VLOOKUP(CONCATENATE($G16,"-",$F16,"-",$H$2),'Look-ups'!$O$3:$S$34,5,FALSE)*VLOOKUP(CONCATENATE($F16,"-",$H$2,"-",K$3),'Look-ups'!$I$3:$M$24,5,FALSE)</f>
        <v>703.5</v>
      </c>
      <c r="L16">
        <f>VLOOKUP(CONCATENATE($G16,"-",$F16,"-",$H$2),'Look-ups'!$O$3:$S$34,5,FALSE)*VLOOKUP(CONCATENATE($F16,"-",$H$2,"-",L$3),'Look-ups'!$I$3:$M$24,5,FALSE)</f>
        <v>781.6666666666667</v>
      </c>
      <c r="M16">
        <f>VLOOKUP(CONCATENATE($G16,"-",$F16,"-",$H$2),'Look-ups'!$O$3:$S$34,5,FALSE)*VLOOKUP(CONCATENATE($F16,"-",$H$2,"-",M$3),'Look-ups'!$I$3:$M$24,5,FALSE)</f>
        <v>859.8333333333333</v>
      </c>
      <c r="N16">
        <f>VLOOKUP(CONCATENATE($G16,"-",$F16,"-",$N$2),'Look-ups'!$O$3:$S$34,5,FALSE)*VLOOKUP(CONCATENATE($F16,"-",$N$2,"-",N$3),'Look-ups'!$I$3:$M$24,5,FALSE)</f>
        <v>312</v>
      </c>
      <c r="O16">
        <f>VLOOKUP(CONCATENATE($G16,"-",$F16,"-",$N$2),'Look-ups'!$O$3:$S$34,5,FALSE)*VLOOKUP(CONCATENATE($F16,"-",$N$2,"-",O$3),'Look-ups'!$I$3:$M$24,5,FALSE)</f>
        <v>312</v>
      </c>
      <c r="P16">
        <f>VLOOKUP(CONCATENATE($G16,"-",$F16,"-",$N$2),'Look-ups'!$O$3:$S$34,5,FALSE)*VLOOKUP(CONCATENATE($F16,"-",$N$2,"-",P$3),'Look-ups'!$I$3:$M$24,5,FALSE)</f>
        <v>416</v>
      </c>
      <c r="Q16">
        <f>VLOOKUP(CONCATENATE($G16,"-",$F16,"-",$N$2),'Look-ups'!$O$3:$S$34,5,FALSE)*VLOOKUP(CONCATENATE($F16,"-",$N$2,"-",Q$3),'Look-ups'!$I$3:$M$24,5,FALSE)</f>
        <v>534.8571428571429</v>
      </c>
      <c r="R16">
        <f>VLOOKUP(CONCATENATE($G16,"-",$F16,"-",$N$2),'Look-ups'!$O$3:$S$34,5,FALSE)*VLOOKUP(CONCATENATE($F16,"-",$N$2,"-",R$3),'Look-ups'!$I$3:$M$24,5,FALSE)</f>
        <v>609.1428571428571</v>
      </c>
      <c r="S16" s="117">
        <f>VLOOKUP(CONCATENATE($G16,"-",$F16,"-Lone Person"),'Look-ups'!$Y$4:$AG$35,5,FALSE)</f>
        <v>106</v>
      </c>
      <c r="T16">
        <f>VLOOKUP(CONCATENATE($G16,"-",$F16,"-Lone Person"),'Look-ups'!$Y$4:$AG$35,6,FALSE)</f>
        <v>151.58</v>
      </c>
      <c r="U16">
        <f>VLOOKUP(CONCATENATE($G16,"-",$F16,"-Lone Person"),'Look-ups'!$Y$4:$AG$35,7,FALSE)</f>
        <v>181.26000000000002</v>
      </c>
      <c r="V16">
        <f>VLOOKUP(CONCATENATE($G16,"-",$F16,"-Lone Person"),'Look-ups'!$Y$4:$AG$35,8,FALSE)</f>
        <v>221.54000000000002</v>
      </c>
      <c r="W16">
        <f>VLOOKUP(CONCATENATE($G16,"-",$F16,"-Lone Person"),'Look-ups'!$Y$4:$AG$35,9,FALSE)</f>
        <v>210.94</v>
      </c>
      <c r="X16" s="117">
        <f>VLOOKUP(CONCATENATE($G16,"-",$F16,"-Couple Only"),'Look-ups'!$Y$4:$AG$35,5,FALSE)</f>
        <v>171.72</v>
      </c>
      <c r="Y16">
        <f>VLOOKUP(CONCATENATE($G16,"-",$F16,"-Couple Only"),'Look-ups'!$Y$4:$AG$35,6,FALSE)</f>
        <v>162.18</v>
      </c>
      <c r="Z16">
        <f>VLOOKUP(CONCATENATE($G16,"-",$F16,"-Couple Only"),'Look-ups'!$Y$4:$AG$35,7,FALSE)</f>
        <v>183.38</v>
      </c>
      <c r="AA16">
        <f>VLOOKUP(CONCATENATE($G16,"-",$F16,"-Couple Only"),'Look-ups'!$Y$4:$AG$35,8,FALSE)</f>
        <v>202.46</v>
      </c>
      <c r="AB16">
        <f>VLOOKUP(CONCATENATE($G16,"-",$F16,"-Couple Only"),'Look-ups'!$Y$4:$AG$35,9,FALSE)</f>
        <v>254.4</v>
      </c>
      <c r="AC16">
        <v>48</v>
      </c>
      <c r="AD16" t="s">
        <v>164</v>
      </c>
      <c r="AE16" s="260">
        <f>VLOOKUP($AD16,'Look-ups'!$A$122:$G$130,5,FALSE)</f>
        <v>0.09143686502177067</v>
      </c>
      <c r="AF16" s="260">
        <f>VLOOKUP($AD16,'Look-ups'!$A$122:$G$130,6,FALSE)</f>
        <v>0.2815674891146589</v>
      </c>
      <c r="AG16" s="260">
        <f>VLOOKUP($AD16,'Look-ups'!$A$122:$G$130,7,FALSE)</f>
        <v>0.6269956458635704</v>
      </c>
      <c r="AH16" s="264">
        <f>VLOOKUP($AC16,'Look-ups'!$A$50:$AO$118,'Look-ups'!$B$133*4,FALSE)*0.277778</f>
        <v>41.70966653539818</v>
      </c>
      <c r="AI16" s="264">
        <f>VLOOKUP($AC16,'Look-ups'!$A$50:$AO$118,'Look-ups'!$B$133*4+1,FALSE)*0.277778</f>
        <v>25.79038746460183</v>
      </c>
      <c r="AJ16" s="264">
        <f>AE16*$AH16/'Look-ups'!$B$141</f>
        <v>4.985360979216038</v>
      </c>
      <c r="AK16" s="264">
        <f>AF16*$AH16/'Look-ups'!$B$140</f>
        <v>16.08778914819422</v>
      </c>
      <c r="AL16" s="264">
        <f>AG16*$AH16/'Look-ups'!$B$137</f>
        <v>4.981291296784025</v>
      </c>
      <c r="AM16" s="264">
        <f>AI16/'Look-ups'!$B$136</f>
        <v>5.429555255705648</v>
      </c>
      <c r="AN16" s="263">
        <f>AJ16*VLOOKUP($AD16,'Look-ups'!$A$123:$M$130,10,FALSE)</f>
        <v>1.3529715768594635</v>
      </c>
      <c r="AO16" s="263">
        <f>AK16*VLOOKUP($AD16,'Look-ups'!$A$123:$M$130,9,FALSE)</f>
        <v>2.481412773795773</v>
      </c>
      <c r="AP16" s="263">
        <f>(AL16+AM16)*VLOOKUP($AD16,'Look-ups'!$A$123:$M$130,8,FALSE)</f>
        <v>2.9617366220493926</v>
      </c>
      <c r="AQ16" s="263">
        <f t="shared" si="0"/>
        <v>6.796120972704629</v>
      </c>
      <c r="AR16" s="265">
        <f>AJ16*VLOOKUP($AD16,'Look-ups'!$A$123:$M$130,11,FALSE)</f>
        <v>0.02153736247636262</v>
      </c>
      <c r="AS16" s="265">
        <f>AK16*VLOOKUP($AD16,'Look-ups'!$A$123:$M$130,12,FALSE)</f>
        <v>2.9844971552235595</v>
      </c>
      <c r="AT16" s="265">
        <f>(AL16+AM16)*VLOOKUP($AD16,'Look-ups'!$A$123:$M$130,13,FALSE)</f>
        <v>2.679751902610842</v>
      </c>
      <c r="AU16" s="265">
        <f t="shared" si="1"/>
        <v>5.685786420310764</v>
      </c>
      <c r="AW16" t="s">
        <v>313</v>
      </c>
      <c r="AY16" t="s">
        <v>344</v>
      </c>
      <c r="BA16" t="s">
        <v>364</v>
      </c>
    </row>
    <row r="17" spans="1:53" ht="15">
      <c r="A17">
        <v>1013</v>
      </c>
      <c r="B17" t="s">
        <v>313</v>
      </c>
      <c r="C17">
        <v>49.5428</v>
      </c>
      <c r="D17">
        <v>21087</v>
      </c>
      <c r="E17">
        <v>425.6319788142778</v>
      </c>
      <c r="F17" t="s">
        <v>173</v>
      </c>
      <c r="G17" t="s">
        <v>164</v>
      </c>
      <c r="H17">
        <f>VLOOKUP(CONCATENATE($G17,"-",$F17,"-",$H$2),'Look-ups'!$O$3:$S$34,5,FALSE)*VLOOKUP(CONCATENATE($F17,"-",$H$2,"-",H$3),'Look-ups'!$I$3:$M$24,5,FALSE)</f>
        <v>312.66666666666663</v>
      </c>
      <c r="I17">
        <f>VLOOKUP(CONCATENATE($G17,"-",$F17,"-",$H$2),'Look-ups'!$O$3:$S$34,5,FALSE)*VLOOKUP(CONCATENATE($F17,"-",$H$2,"-",I$3),'Look-ups'!$I$3:$M$24,5,FALSE)</f>
        <v>469</v>
      </c>
      <c r="J17">
        <f>VLOOKUP(CONCATENATE($G17,"-",$F17,"-",$H$2),'Look-ups'!$O$3:$S$34,5,FALSE)*VLOOKUP(CONCATENATE($F17,"-",$H$2,"-",J$3),'Look-ups'!$I$3:$M$24,5,FALSE)</f>
        <v>547.1666666666667</v>
      </c>
      <c r="K17">
        <f>VLOOKUP(CONCATENATE($G17,"-",$F17,"-",$H$2),'Look-ups'!$O$3:$S$34,5,FALSE)*VLOOKUP(CONCATENATE($F17,"-",$H$2,"-",K$3),'Look-ups'!$I$3:$M$24,5,FALSE)</f>
        <v>703.5</v>
      </c>
      <c r="L17">
        <f>VLOOKUP(CONCATENATE($G17,"-",$F17,"-",$H$2),'Look-ups'!$O$3:$S$34,5,FALSE)*VLOOKUP(CONCATENATE($F17,"-",$H$2,"-",L$3),'Look-ups'!$I$3:$M$24,5,FALSE)</f>
        <v>781.6666666666667</v>
      </c>
      <c r="M17">
        <f>VLOOKUP(CONCATENATE($G17,"-",$F17,"-",$H$2),'Look-ups'!$O$3:$S$34,5,FALSE)*VLOOKUP(CONCATENATE($F17,"-",$H$2,"-",M$3),'Look-ups'!$I$3:$M$24,5,FALSE)</f>
        <v>859.8333333333333</v>
      </c>
      <c r="N17">
        <f>VLOOKUP(CONCATENATE($G17,"-",$F17,"-",$N$2),'Look-ups'!$O$3:$S$34,5,FALSE)*VLOOKUP(CONCATENATE($F17,"-",$N$2,"-",N$3),'Look-ups'!$I$3:$M$24,5,FALSE)</f>
        <v>312</v>
      </c>
      <c r="O17">
        <f>VLOOKUP(CONCATENATE($G17,"-",$F17,"-",$N$2),'Look-ups'!$O$3:$S$34,5,FALSE)*VLOOKUP(CONCATENATE($F17,"-",$N$2,"-",O$3),'Look-ups'!$I$3:$M$24,5,FALSE)</f>
        <v>312</v>
      </c>
      <c r="P17">
        <f>VLOOKUP(CONCATENATE($G17,"-",$F17,"-",$N$2),'Look-ups'!$O$3:$S$34,5,FALSE)*VLOOKUP(CONCATENATE($F17,"-",$N$2,"-",P$3),'Look-ups'!$I$3:$M$24,5,FALSE)</f>
        <v>416</v>
      </c>
      <c r="Q17">
        <f>VLOOKUP(CONCATENATE($G17,"-",$F17,"-",$N$2),'Look-ups'!$O$3:$S$34,5,FALSE)*VLOOKUP(CONCATENATE($F17,"-",$N$2,"-",Q$3),'Look-ups'!$I$3:$M$24,5,FALSE)</f>
        <v>534.8571428571429</v>
      </c>
      <c r="R17">
        <f>VLOOKUP(CONCATENATE($G17,"-",$F17,"-",$N$2),'Look-ups'!$O$3:$S$34,5,FALSE)*VLOOKUP(CONCATENATE($F17,"-",$N$2,"-",R$3),'Look-ups'!$I$3:$M$24,5,FALSE)</f>
        <v>609.1428571428571</v>
      </c>
      <c r="S17" s="117">
        <f>VLOOKUP(CONCATENATE($G17,"-",$F17,"-Lone Person"),'Look-ups'!$Y$4:$AG$35,5,FALSE)</f>
        <v>106</v>
      </c>
      <c r="T17">
        <f>VLOOKUP(CONCATENATE($G17,"-",$F17,"-Lone Person"),'Look-ups'!$Y$4:$AG$35,6,FALSE)</f>
        <v>151.58</v>
      </c>
      <c r="U17">
        <f>VLOOKUP(CONCATENATE($G17,"-",$F17,"-Lone Person"),'Look-ups'!$Y$4:$AG$35,7,FALSE)</f>
        <v>181.26000000000002</v>
      </c>
      <c r="V17">
        <f>VLOOKUP(CONCATENATE($G17,"-",$F17,"-Lone Person"),'Look-ups'!$Y$4:$AG$35,8,FALSE)</f>
        <v>221.54000000000002</v>
      </c>
      <c r="W17">
        <f>VLOOKUP(CONCATENATE($G17,"-",$F17,"-Lone Person"),'Look-ups'!$Y$4:$AG$35,9,FALSE)</f>
        <v>210.94</v>
      </c>
      <c r="X17" s="117">
        <f>VLOOKUP(CONCATENATE($G17,"-",$F17,"-Couple Only"),'Look-ups'!$Y$4:$AG$35,5,FALSE)</f>
        <v>171.72</v>
      </c>
      <c r="Y17">
        <f>VLOOKUP(CONCATENATE($G17,"-",$F17,"-Couple Only"),'Look-ups'!$Y$4:$AG$35,6,FALSE)</f>
        <v>162.18</v>
      </c>
      <c r="Z17">
        <f>VLOOKUP(CONCATENATE($G17,"-",$F17,"-Couple Only"),'Look-ups'!$Y$4:$AG$35,7,FALSE)</f>
        <v>183.38</v>
      </c>
      <c r="AA17">
        <f>VLOOKUP(CONCATENATE($G17,"-",$F17,"-Couple Only"),'Look-ups'!$Y$4:$AG$35,8,FALSE)</f>
        <v>202.46</v>
      </c>
      <c r="AB17">
        <f>VLOOKUP(CONCATENATE($G17,"-",$F17,"-Couple Only"),'Look-ups'!$Y$4:$AG$35,9,FALSE)</f>
        <v>254.4</v>
      </c>
      <c r="AC17">
        <v>15</v>
      </c>
      <c r="AD17" t="s">
        <v>164</v>
      </c>
      <c r="AE17" s="260">
        <f>VLOOKUP($AD17,'Look-ups'!$A$122:$G$130,5,FALSE)</f>
        <v>0.09143686502177067</v>
      </c>
      <c r="AF17" s="260">
        <f>VLOOKUP($AD17,'Look-ups'!$A$122:$G$130,6,FALSE)</f>
        <v>0.2815674891146589</v>
      </c>
      <c r="AG17" s="260">
        <f>VLOOKUP($AD17,'Look-ups'!$A$122:$G$130,7,FALSE)</f>
        <v>0.6269956458635704</v>
      </c>
      <c r="AH17" s="264">
        <f>VLOOKUP($AC17,'Look-ups'!$A$50:$AO$118,'Look-ups'!$B$133*4,FALSE)*0.277778</f>
        <v>18.72728904402556</v>
      </c>
      <c r="AI17" s="264">
        <f>VLOOKUP($AC17,'Look-ups'!$A$50:$AO$118,'Look-ups'!$B$133*4+1,FALSE)*0.277778</f>
        <v>17.939406955974444</v>
      </c>
      <c r="AJ17" s="264">
        <f>AE17*$AH17/'Look-ups'!$B$141</f>
        <v>2.2383850987480396</v>
      </c>
      <c r="AK17" s="264">
        <f>AF17*$AH17/'Look-ups'!$B$140</f>
        <v>7.223281854864025</v>
      </c>
      <c r="AL17" s="264">
        <f>AG17*$AH17/'Look-ups'!$B$137</f>
        <v>2.236557845606204</v>
      </c>
      <c r="AM17" s="264">
        <f>AI17/'Look-ups'!$B$136</f>
        <v>3.7767172538893568</v>
      </c>
      <c r="AN17" s="263">
        <f>AJ17*VLOOKUP($AD17,'Look-ups'!$A$123:$M$130,10,FALSE)</f>
        <v>0.6074728448546762</v>
      </c>
      <c r="AO17" s="263">
        <f>AK17*VLOOKUP($AD17,'Look-ups'!$A$123:$M$130,9,FALSE)</f>
        <v>1.114133439857937</v>
      </c>
      <c r="AP17" s="263">
        <f>(AL17+AM17)*VLOOKUP($AD17,'Look-ups'!$A$123:$M$130,8,FALSE)</f>
        <v>1.7106905755300605</v>
      </c>
      <c r="AQ17" s="263">
        <f t="shared" si="0"/>
        <v>3.4322968602426736</v>
      </c>
      <c r="AR17" s="265">
        <f>AJ17*VLOOKUP($AD17,'Look-ups'!$A$123:$M$130,11,FALSE)</f>
        <v>0.009670094389234428</v>
      </c>
      <c r="AS17" s="265">
        <f>AK17*VLOOKUP($AD17,'Look-ups'!$A$123:$M$130,12,FALSE)</f>
        <v>1.340014090726656</v>
      </c>
      <c r="AT17" s="265">
        <f>(AL17+AM17)*VLOOKUP($AD17,'Look-ups'!$A$123:$M$130,13,FALSE)</f>
        <v>1.5478170106101574</v>
      </c>
      <c r="AU17" s="265">
        <f t="shared" si="1"/>
        <v>2.897501195726048</v>
      </c>
      <c r="AW17" t="s">
        <v>314</v>
      </c>
      <c r="AY17" t="s">
        <v>345</v>
      </c>
      <c r="BA17" t="s">
        <v>365</v>
      </c>
    </row>
    <row r="18" spans="1:53" ht="15">
      <c r="A18">
        <v>1014</v>
      </c>
      <c r="B18" t="s">
        <v>314</v>
      </c>
      <c r="C18">
        <v>64.7865</v>
      </c>
      <c r="D18">
        <v>24565</v>
      </c>
      <c r="E18">
        <v>379.16849961025827</v>
      </c>
      <c r="F18" t="s">
        <v>173</v>
      </c>
      <c r="G18" t="s">
        <v>164</v>
      </c>
      <c r="H18">
        <f>VLOOKUP(CONCATENATE($G18,"-",$F18,"-",$H$2),'Look-ups'!$O$3:$S$34,5,FALSE)*VLOOKUP(CONCATENATE($F18,"-",$H$2,"-",H$3),'Look-ups'!$I$3:$M$24,5,FALSE)</f>
        <v>312.66666666666663</v>
      </c>
      <c r="I18">
        <f>VLOOKUP(CONCATENATE($G18,"-",$F18,"-",$H$2),'Look-ups'!$O$3:$S$34,5,FALSE)*VLOOKUP(CONCATENATE($F18,"-",$H$2,"-",I$3),'Look-ups'!$I$3:$M$24,5,FALSE)</f>
        <v>469</v>
      </c>
      <c r="J18">
        <f>VLOOKUP(CONCATENATE($G18,"-",$F18,"-",$H$2),'Look-ups'!$O$3:$S$34,5,FALSE)*VLOOKUP(CONCATENATE($F18,"-",$H$2,"-",J$3),'Look-ups'!$I$3:$M$24,5,FALSE)</f>
        <v>547.1666666666667</v>
      </c>
      <c r="K18">
        <f>VLOOKUP(CONCATENATE($G18,"-",$F18,"-",$H$2),'Look-ups'!$O$3:$S$34,5,FALSE)*VLOOKUP(CONCATENATE($F18,"-",$H$2,"-",K$3),'Look-ups'!$I$3:$M$24,5,FALSE)</f>
        <v>703.5</v>
      </c>
      <c r="L18">
        <f>VLOOKUP(CONCATENATE($G18,"-",$F18,"-",$H$2),'Look-ups'!$O$3:$S$34,5,FALSE)*VLOOKUP(CONCATENATE($F18,"-",$H$2,"-",L$3),'Look-ups'!$I$3:$M$24,5,FALSE)</f>
        <v>781.6666666666667</v>
      </c>
      <c r="M18">
        <f>VLOOKUP(CONCATENATE($G18,"-",$F18,"-",$H$2),'Look-ups'!$O$3:$S$34,5,FALSE)*VLOOKUP(CONCATENATE($F18,"-",$H$2,"-",M$3),'Look-ups'!$I$3:$M$24,5,FALSE)</f>
        <v>859.8333333333333</v>
      </c>
      <c r="N18">
        <f>VLOOKUP(CONCATENATE($G18,"-",$F18,"-",$N$2),'Look-ups'!$O$3:$S$34,5,FALSE)*VLOOKUP(CONCATENATE($F18,"-",$N$2,"-",N$3),'Look-ups'!$I$3:$M$24,5,FALSE)</f>
        <v>312</v>
      </c>
      <c r="O18">
        <f>VLOOKUP(CONCATENATE($G18,"-",$F18,"-",$N$2),'Look-ups'!$O$3:$S$34,5,FALSE)*VLOOKUP(CONCATENATE($F18,"-",$N$2,"-",O$3),'Look-ups'!$I$3:$M$24,5,FALSE)</f>
        <v>312</v>
      </c>
      <c r="P18">
        <f>VLOOKUP(CONCATENATE($G18,"-",$F18,"-",$N$2),'Look-ups'!$O$3:$S$34,5,FALSE)*VLOOKUP(CONCATENATE($F18,"-",$N$2,"-",P$3),'Look-ups'!$I$3:$M$24,5,FALSE)</f>
        <v>416</v>
      </c>
      <c r="Q18">
        <f>VLOOKUP(CONCATENATE($G18,"-",$F18,"-",$N$2),'Look-ups'!$O$3:$S$34,5,FALSE)*VLOOKUP(CONCATENATE($F18,"-",$N$2,"-",Q$3),'Look-ups'!$I$3:$M$24,5,FALSE)</f>
        <v>534.8571428571429</v>
      </c>
      <c r="R18">
        <f>VLOOKUP(CONCATENATE($G18,"-",$F18,"-",$N$2),'Look-ups'!$O$3:$S$34,5,FALSE)*VLOOKUP(CONCATENATE($F18,"-",$N$2,"-",R$3),'Look-ups'!$I$3:$M$24,5,FALSE)</f>
        <v>609.1428571428571</v>
      </c>
      <c r="S18" s="117">
        <f>VLOOKUP(CONCATENATE($G18,"-",$F18,"-Lone Person"),'Look-ups'!$Y$4:$AG$35,5,FALSE)</f>
        <v>106</v>
      </c>
      <c r="T18">
        <f>VLOOKUP(CONCATENATE($G18,"-",$F18,"-Lone Person"),'Look-ups'!$Y$4:$AG$35,6,FALSE)</f>
        <v>151.58</v>
      </c>
      <c r="U18">
        <f>VLOOKUP(CONCATENATE($G18,"-",$F18,"-Lone Person"),'Look-ups'!$Y$4:$AG$35,7,FALSE)</f>
        <v>181.26000000000002</v>
      </c>
      <c r="V18">
        <f>VLOOKUP(CONCATENATE($G18,"-",$F18,"-Lone Person"),'Look-ups'!$Y$4:$AG$35,8,FALSE)</f>
        <v>221.54000000000002</v>
      </c>
      <c r="W18">
        <f>VLOOKUP(CONCATENATE($G18,"-",$F18,"-Lone Person"),'Look-ups'!$Y$4:$AG$35,9,FALSE)</f>
        <v>210.94</v>
      </c>
      <c r="X18" s="117">
        <f>VLOOKUP(CONCATENATE($G18,"-",$F18,"-Couple Only"),'Look-ups'!$Y$4:$AG$35,5,FALSE)</f>
        <v>171.72</v>
      </c>
      <c r="Y18">
        <f>VLOOKUP(CONCATENATE($G18,"-",$F18,"-Couple Only"),'Look-ups'!$Y$4:$AG$35,6,FALSE)</f>
        <v>162.18</v>
      </c>
      <c r="Z18">
        <f>VLOOKUP(CONCATENATE($G18,"-",$F18,"-Couple Only"),'Look-ups'!$Y$4:$AG$35,7,FALSE)</f>
        <v>183.38</v>
      </c>
      <c r="AA18">
        <f>VLOOKUP(CONCATENATE($G18,"-",$F18,"-Couple Only"),'Look-ups'!$Y$4:$AG$35,8,FALSE)</f>
        <v>202.46</v>
      </c>
      <c r="AB18">
        <f>VLOOKUP(CONCATENATE($G18,"-",$F18,"-Couple Only"),'Look-ups'!$Y$4:$AG$35,9,FALSE)</f>
        <v>254.4</v>
      </c>
      <c r="AC18">
        <v>24</v>
      </c>
      <c r="AD18" t="s">
        <v>164</v>
      </c>
      <c r="AE18" s="260">
        <f>VLOOKUP($AD18,'Look-ups'!$A$122:$G$130,5,FALSE)</f>
        <v>0.09143686502177067</v>
      </c>
      <c r="AF18" s="260">
        <f>VLOOKUP($AD18,'Look-ups'!$A$122:$G$130,6,FALSE)</f>
        <v>0.2815674891146589</v>
      </c>
      <c r="AG18" s="260">
        <f>VLOOKUP($AD18,'Look-ups'!$A$122:$G$130,7,FALSE)</f>
        <v>0.6269956458635704</v>
      </c>
      <c r="AH18" s="264">
        <f>VLOOKUP($AC18,'Look-ups'!$A$50:$AO$118,'Look-ups'!$B$133*4,FALSE)*0.277778</f>
        <v>103.01123319633932</v>
      </c>
      <c r="AI18" s="264">
        <f>VLOOKUP($AC18,'Look-ups'!$A$50:$AO$118,'Look-ups'!$B$133*4+1,FALSE)*0.277778</f>
        <v>16.98886280366069</v>
      </c>
      <c r="AJ18" s="264">
        <f>AE18*$AH18/'Look-ups'!$B$141</f>
        <v>12.312449967973622</v>
      </c>
      <c r="AK18" s="264">
        <f>AF18*$AH18/'Look-ups'!$B$140</f>
        <v>39.732348331092965</v>
      </c>
      <c r="AL18" s="264">
        <f>AG18*$AH18/'Look-ups'!$B$137</f>
        <v>12.302398988407928</v>
      </c>
      <c r="AM18" s="264">
        <f>AI18/'Look-ups'!$B$136</f>
        <v>3.576602695507514</v>
      </c>
      <c r="AN18" s="263">
        <f>AJ18*VLOOKUP($AD18,'Look-ups'!$A$123:$M$130,10,FALSE)</f>
        <v>3.341462116308396</v>
      </c>
      <c r="AO18" s="263">
        <f>AK18*VLOOKUP($AD18,'Look-ups'!$A$123:$M$130,9,FALSE)</f>
        <v>6.128396871284441</v>
      </c>
      <c r="AP18" s="263">
        <f>(AL18+AM18)*VLOOKUP($AD18,'Look-ups'!$A$123:$M$130,8,FALSE)</f>
        <v>4.517348380049807</v>
      </c>
      <c r="AQ18" s="263">
        <f t="shared" si="0"/>
        <v>13.987207367642645</v>
      </c>
      <c r="AR18" s="265">
        <f>AJ18*VLOOKUP($AD18,'Look-ups'!$A$123:$M$130,11,FALSE)</f>
        <v>0.05319127321729613</v>
      </c>
      <c r="AS18" s="265">
        <f>AK18*VLOOKUP($AD18,'Look-ups'!$A$123:$M$130,12,FALSE)</f>
        <v>7.370874858700438</v>
      </c>
      <c r="AT18" s="265">
        <f>(AL18+AM18)*VLOOKUP($AD18,'Look-ups'!$A$123:$M$130,13,FALSE)</f>
        <v>4.087255033439835</v>
      </c>
      <c r="AU18" s="265">
        <f t="shared" si="1"/>
        <v>11.511321165357568</v>
      </c>
      <c r="AW18" t="s">
        <v>315</v>
      </c>
      <c r="AY18" t="s">
        <v>346</v>
      </c>
      <c r="BA18" t="s">
        <v>366</v>
      </c>
    </row>
    <row r="19" spans="1:53" ht="15">
      <c r="A19">
        <v>1015</v>
      </c>
      <c r="B19" t="s">
        <v>315</v>
      </c>
      <c r="C19">
        <v>106.253699999999</v>
      </c>
      <c r="D19">
        <v>19255</v>
      </c>
      <c r="E19">
        <v>181.217218788618</v>
      </c>
      <c r="F19" t="s">
        <v>173</v>
      </c>
      <c r="G19" t="s">
        <v>164</v>
      </c>
      <c r="H19">
        <f>VLOOKUP(CONCATENATE($G19,"-",$F19,"-",$H$2),'Look-ups'!$O$3:$S$34,5,FALSE)*VLOOKUP(CONCATENATE($F19,"-",$H$2,"-",H$3),'Look-ups'!$I$3:$M$24,5,FALSE)</f>
        <v>312.66666666666663</v>
      </c>
      <c r="I19">
        <f>VLOOKUP(CONCATENATE($G19,"-",$F19,"-",$H$2),'Look-ups'!$O$3:$S$34,5,FALSE)*VLOOKUP(CONCATENATE($F19,"-",$H$2,"-",I$3),'Look-ups'!$I$3:$M$24,5,FALSE)</f>
        <v>469</v>
      </c>
      <c r="J19">
        <f>VLOOKUP(CONCATENATE($G19,"-",$F19,"-",$H$2),'Look-ups'!$O$3:$S$34,5,FALSE)*VLOOKUP(CONCATENATE($F19,"-",$H$2,"-",J$3),'Look-ups'!$I$3:$M$24,5,FALSE)</f>
        <v>547.1666666666667</v>
      </c>
      <c r="K19">
        <f>VLOOKUP(CONCATENATE($G19,"-",$F19,"-",$H$2),'Look-ups'!$O$3:$S$34,5,FALSE)*VLOOKUP(CONCATENATE($F19,"-",$H$2,"-",K$3),'Look-ups'!$I$3:$M$24,5,FALSE)</f>
        <v>703.5</v>
      </c>
      <c r="L19">
        <f>VLOOKUP(CONCATENATE($G19,"-",$F19,"-",$H$2),'Look-ups'!$O$3:$S$34,5,FALSE)*VLOOKUP(CONCATENATE($F19,"-",$H$2,"-",L$3),'Look-ups'!$I$3:$M$24,5,FALSE)</f>
        <v>781.6666666666667</v>
      </c>
      <c r="M19">
        <f>VLOOKUP(CONCATENATE($G19,"-",$F19,"-",$H$2),'Look-ups'!$O$3:$S$34,5,FALSE)*VLOOKUP(CONCATENATE($F19,"-",$H$2,"-",M$3),'Look-ups'!$I$3:$M$24,5,FALSE)</f>
        <v>859.8333333333333</v>
      </c>
      <c r="N19">
        <f>VLOOKUP(CONCATENATE($G19,"-",$F19,"-",$N$2),'Look-ups'!$O$3:$S$34,5,FALSE)*VLOOKUP(CONCATENATE($F19,"-",$N$2,"-",N$3),'Look-ups'!$I$3:$M$24,5,FALSE)</f>
        <v>312</v>
      </c>
      <c r="O19">
        <f>VLOOKUP(CONCATENATE($G19,"-",$F19,"-",$N$2),'Look-ups'!$O$3:$S$34,5,FALSE)*VLOOKUP(CONCATENATE($F19,"-",$N$2,"-",O$3),'Look-ups'!$I$3:$M$24,5,FALSE)</f>
        <v>312</v>
      </c>
      <c r="P19">
        <f>VLOOKUP(CONCATENATE($G19,"-",$F19,"-",$N$2),'Look-ups'!$O$3:$S$34,5,FALSE)*VLOOKUP(CONCATENATE($F19,"-",$N$2,"-",P$3),'Look-ups'!$I$3:$M$24,5,FALSE)</f>
        <v>416</v>
      </c>
      <c r="Q19">
        <f>VLOOKUP(CONCATENATE($G19,"-",$F19,"-",$N$2),'Look-ups'!$O$3:$S$34,5,FALSE)*VLOOKUP(CONCATENATE($F19,"-",$N$2,"-",Q$3),'Look-ups'!$I$3:$M$24,5,FALSE)</f>
        <v>534.8571428571429</v>
      </c>
      <c r="R19">
        <f>VLOOKUP(CONCATENATE($G19,"-",$F19,"-",$N$2),'Look-ups'!$O$3:$S$34,5,FALSE)*VLOOKUP(CONCATENATE($F19,"-",$N$2,"-",R$3),'Look-ups'!$I$3:$M$24,5,FALSE)</f>
        <v>609.1428571428571</v>
      </c>
      <c r="S19" s="117">
        <f>VLOOKUP(CONCATENATE($G19,"-",$F19,"-Lone Person"),'Look-ups'!$Y$4:$AG$35,5,FALSE)</f>
        <v>106</v>
      </c>
      <c r="T19">
        <f>VLOOKUP(CONCATENATE($G19,"-",$F19,"-Lone Person"),'Look-ups'!$Y$4:$AG$35,6,FALSE)</f>
        <v>151.58</v>
      </c>
      <c r="U19">
        <f>VLOOKUP(CONCATENATE($G19,"-",$F19,"-Lone Person"),'Look-ups'!$Y$4:$AG$35,7,FALSE)</f>
        <v>181.26000000000002</v>
      </c>
      <c r="V19">
        <f>VLOOKUP(CONCATENATE($G19,"-",$F19,"-Lone Person"),'Look-ups'!$Y$4:$AG$35,8,FALSE)</f>
        <v>221.54000000000002</v>
      </c>
      <c r="W19">
        <f>VLOOKUP(CONCATENATE($G19,"-",$F19,"-Lone Person"),'Look-ups'!$Y$4:$AG$35,9,FALSE)</f>
        <v>210.94</v>
      </c>
      <c r="X19" s="117">
        <f>VLOOKUP(CONCATENATE($G19,"-",$F19,"-Couple Only"),'Look-ups'!$Y$4:$AG$35,5,FALSE)</f>
        <v>171.72</v>
      </c>
      <c r="Y19">
        <f>VLOOKUP(CONCATENATE($G19,"-",$F19,"-Couple Only"),'Look-ups'!$Y$4:$AG$35,6,FALSE)</f>
        <v>162.18</v>
      </c>
      <c r="Z19">
        <f>VLOOKUP(CONCATENATE($G19,"-",$F19,"-Couple Only"),'Look-ups'!$Y$4:$AG$35,7,FALSE)</f>
        <v>183.38</v>
      </c>
      <c r="AA19">
        <f>VLOOKUP(CONCATENATE($G19,"-",$F19,"-Couple Only"),'Look-ups'!$Y$4:$AG$35,8,FALSE)</f>
        <v>202.46</v>
      </c>
      <c r="AB19">
        <f>VLOOKUP(CONCATENATE($G19,"-",$F19,"-Couple Only"),'Look-ups'!$Y$4:$AG$35,9,FALSE)</f>
        <v>254.4</v>
      </c>
      <c r="AC19">
        <v>11</v>
      </c>
      <c r="AD19" t="s">
        <v>164</v>
      </c>
      <c r="AE19" s="260">
        <f>VLOOKUP($AD19,'Look-ups'!$A$122:$G$130,5,FALSE)</f>
        <v>0.09143686502177067</v>
      </c>
      <c r="AF19" s="260">
        <f>VLOOKUP($AD19,'Look-ups'!$A$122:$G$130,6,FALSE)</f>
        <v>0.2815674891146589</v>
      </c>
      <c r="AG19" s="260">
        <f>VLOOKUP($AD19,'Look-ups'!$A$122:$G$130,7,FALSE)</f>
        <v>0.6269956458635704</v>
      </c>
      <c r="AH19" s="264">
        <f>VLOOKUP($AC19,'Look-ups'!$A$50:$AO$118,'Look-ups'!$B$133*4,FALSE)*0.277778</f>
        <v>7.719494328746668</v>
      </c>
      <c r="AI19" s="264">
        <f>VLOOKUP($AC19,'Look-ups'!$A$50:$AO$118,'Look-ups'!$B$133*4+1,FALSE)*0.277778</f>
        <v>18.947193671253334</v>
      </c>
      <c r="AJ19" s="264">
        <f>AE19*$AH19/'Look-ups'!$B$141</f>
        <v>0.9226749816652724</v>
      </c>
      <c r="AK19" s="264">
        <f>AF19*$AH19/'Look-ups'!$B$140</f>
        <v>2.977477582712395</v>
      </c>
      <c r="AL19" s="264">
        <f>AG19*$AH19/'Look-ups'!$B$137</f>
        <v>0.9219217775986068</v>
      </c>
      <c r="AM19" s="264">
        <f>AI19/'Look-ups'!$B$136</f>
        <v>3.9888828781585968</v>
      </c>
      <c r="AN19" s="263">
        <f>AJ19*VLOOKUP($AD19,'Look-ups'!$A$123:$M$130,10,FALSE)</f>
        <v>0.25040373807971417</v>
      </c>
      <c r="AO19" s="263">
        <f>AK19*VLOOKUP($AD19,'Look-ups'!$A$123:$M$130,9,FALSE)</f>
        <v>0.4592520973127253</v>
      </c>
      <c r="AP19" s="263">
        <f>(AL19+AM19)*VLOOKUP($AD19,'Look-ups'!$A$123:$M$130,8,FALSE)</f>
        <v>1.3970535363628585</v>
      </c>
      <c r="AQ19" s="263">
        <f t="shared" si="0"/>
        <v>2.106709371755298</v>
      </c>
      <c r="AR19" s="265">
        <f>AJ19*VLOOKUP($AD19,'Look-ups'!$A$123:$M$130,11,FALSE)</f>
        <v>0.003986067530684836</v>
      </c>
      <c r="AS19" s="265">
        <f>AK19*VLOOKUP($AD19,'Look-ups'!$A$123:$M$130,12,FALSE)</f>
        <v>0.5523613775323819</v>
      </c>
      <c r="AT19" s="265">
        <f>(AL19+AM19)*VLOOKUP($AD19,'Look-ups'!$A$123:$M$130,13,FALSE)</f>
        <v>1.2640411183919043</v>
      </c>
      <c r="AU19" s="265">
        <f t="shared" si="1"/>
        <v>1.820388563454971</v>
      </c>
      <c r="AW19" t="s">
        <v>316</v>
      </c>
      <c r="AY19" t="s">
        <v>347</v>
      </c>
      <c r="BA19" t="s">
        <v>367</v>
      </c>
    </row>
    <row r="20" spans="1:53" ht="15">
      <c r="A20">
        <v>1016</v>
      </c>
      <c r="B20" t="s">
        <v>316</v>
      </c>
      <c r="C20">
        <v>56.3331999999999</v>
      </c>
      <c r="D20">
        <v>20569</v>
      </c>
      <c r="E20">
        <v>365.13104173027693</v>
      </c>
      <c r="F20" t="s">
        <v>173</v>
      </c>
      <c r="G20" t="s">
        <v>164</v>
      </c>
      <c r="H20">
        <f>VLOOKUP(CONCATENATE($G20,"-",$F20,"-",$H$2),'Look-ups'!$O$3:$S$34,5,FALSE)*VLOOKUP(CONCATENATE($F20,"-",$H$2,"-",H$3),'Look-ups'!$I$3:$M$24,5,FALSE)</f>
        <v>312.66666666666663</v>
      </c>
      <c r="I20">
        <f>VLOOKUP(CONCATENATE($G20,"-",$F20,"-",$H$2),'Look-ups'!$O$3:$S$34,5,FALSE)*VLOOKUP(CONCATENATE($F20,"-",$H$2,"-",I$3),'Look-ups'!$I$3:$M$24,5,FALSE)</f>
        <v>469</v>
      </c>
      <c r="J20">
        <f>VLOOKUP(CONCATENATE($G20,"-",$F20,"-",$H$2),'Look-ups'!$O$3:$S$34,5,FALSE)*VLOOKUP(CONCATENATE($F20,"-",$H$2,"-",J$3),'Look-ups'!$I$3:$M$24,5,FALSE)</f>
        <v>547.1666666666667</v>
      </c>
      <c r="K20">
        <f>VLOOKUP(CONCATENATE($G20,"-",$F20,"-",$H$2),'Look-ups'!$O$3:$S$34,5,FALSE)*VLOOKUP(CONCATENATE($F20,"-",$H$2,"-",K$3),'Look-ups'!$I$3:$M$24,5,FALSE)</f>
        <v>703.5</v>
      </c>
      <c r="L20">
        <f>VLOOKUP(CONCATENATE($G20,"-",$F20,"-",$H$2),'Look-ups'!$O$3:$S$34,5,FALSE)*VLOOKUP(CONCATENATE($F20,"-",$H$2,"-",L$3),'Look-ups'!$I$3:$M$24,5,FALSE)</f>
        <v>781.6666666666667</v>
      </c>
      <c r="M20">
        <f>VLOOKUP(CONCATENATE($G20,"-",$F20,"-",$H$2),'Look-ups'!$O$3:$S$34,5,FALSE)*VLOOKUP(CONCATENATE($F20,"-",$H$2,"-",M$3),'Look-ups'!$I$3:$M$24,5,FALSE)</f>
        <v>859.8333333333333</v>
      </c>
      <c r="N20">
        <f>VLOOKUP(CONCATENATE($G20,"-",$F20,"-",$N$2),'Look-ups'!$O$3:$S$34,5,FALSE)*VLOOKUP(CONCATENATE($F20,"-",$N$2,"-",N$3),'Look-ups'!$I$3:$M$24,5,FALSE)</f>
        <v>312</v>
      </c>
      <c r="O20">
        <f>VLOOKUP(CONCATENATE($G20,"-",$F20,"-",$N$2),'Look-ups'!$O$3:$S$34,5,FALSE)*VLOOKUP(CONCATENATE($F20,"-",$N$2,"-",O$3),'Look-ups'!$I$3:$M$24,5,FALSE)</f>
        <v>312</v>
      </c>
      <c r="P20">
        <f>VLOOKUP(CONCATENATE($G20,"-",$F20,"-",$N$2),'Look-ups'!$O$3:$S$34,5,FALSE)*VLOOKUP(CONCATENATE($F20,"-",$N$2,"-",P$3),'Look-ups'!$I$3:$M$24,5,FALSE)</f>
        <v>416</v>
      </c>
      <c r="Q20">
        <f>VLOOKUP(CONCATENATE($G20,"-",$F20,"-",$N$2),'Look-ups'!$O$3:$S$34,5,FALSE)*VLOOKUP(CONCATENATE($F20,"-",$N$2,"-",Q$3),'Look-ups'!$I$3:$M$24,5,FALSE)</f>
        <v>534.8571428571429</v>
      </c>
      <c r="R20">
        <f>VLOOKUP(CONCATENATE($G20,"-",$F20,"-",$N$2),'Look-ups'!$O$3:$S$34,5,FALSE)*VLOOKUP(CONCATENATE($F20,"-",$N$2,"-",R$3),'Look-ups'!$I$3:$M$24,5,FALSE)</f>
        <v>609.1428571428571</v>
      </c>
      <c r="S20" s="117">
        <f>VLOOKUP(CONCATENATE($G20,"-",$F20,"-Lone Person"),'Look-ups'!$Y$4:$AG$35,5,FALSE)</f>
        <v>106</v>
      </c>
      <c r="T20">
        <f>VLOOKUP(CONCATENATE($G20,"-",$F20,"-Lone Person"),'Look-ups'!$Y$4:$AG$35,6,FALSE)</f>
        <v>151.58</v>
      </c>
      <c r="U20">
        <f>VLOOKUP(CONCATENATE($G20,"-",$F20,"-Lone Person"),'Look-ups'!$Y$4:$AG$35,7,FALSE)</f>
        <v>181.26000000000002</v>
      </c>
      <c r="V20">
        <f>VLOOKUP(CONCATENATE($G20,"-",$F20,"-Lone Person"),'Look-ups'!$Y$4:$AG$35,8,FALSE)</f>
        <v>221.54000000000002</v>
      </c>
      <c r="W20">
        <f>VLOOKUP(CONCATENATE($G20,"-",$F20,"-Lone Person"),'Look-ups'!$Y$4:$AG$35,9,FALSE)</f>
        <v>210.94</v>
      </c>
      <c r="X20" s="117">
        <f>VLOOKUP(CONCATENATE($G20,"-",$F20,"-Couple Only"),'Look-ups'!$Y$4:$AG$35,5,FALSE)</f>
        <v>171.72</v>
      </c>
      <c r="Y20">
        <f>VLOOKUP(CONCATENATE($G20,"-",$F20,"-Couple Only"),'Look-ups'!$Y$4:$AG$35,6,FALSE)</f>
        <v>162.18</v>
      </c>
      <c r="Z20">
        <f>VLOOKUP(CONCATENATE($G20,"-",$F20,"-Couple Only"),'Look-ups'!$Y$4:$AG$35,7,FALSE)</f>
        <v>183.38</v>
      </c>
      <c r="AA20">
        <f>VLOOKUP(CONCATENATE($G20,"-",$F20,"-Couple Only"),'Look-ups'!$Y$4:$AG$35,8,FALSE)</f>
        <v>202.46</v>
      </c>
      <c r="AB20">
        <f>VLOOKUP(CONCATENATE($G20,"-",$F20,"-Couple Only"),'Look-ups'!$Y$4:$AG$35,9,FALSE)</f>
        <v>254.4</v>
      </c>
      <c r="AC20">
        <v>27</v>
      </c>
      <c r="AD20" t="s">
        <v>164</v>
      </c>
      <c r="AE20" s="260">
        <f>VLOOKUP($AD20,'Look-ups'!$A$122:$G$130,5,FALSE)</f>
        <v>0.09143686502177067</v>
      </c>
      <c r="AF20" s="260">
        <f>VLOOKUP($AD20,'Look-ups'!$A$122:$G$130,6,FALSE)</f>
        <v>0.2815674891146589</v>
      </c>
      <c r="AG20" s="260">
        <f>VLOOKUP($AD20,'Look-ups'!$A$122:$G$130,7,FALSE)</f>
        <v>0.6269956458635704</v>
      </c>
      <c r="AH20" s="264">
        <f>VLOOKUP($AC20,'Look-ups'!$A$50:$AO$118,'Look-ups'!$B$133*4,FALSE)*0.277778</f>
        <v>41.49085090441251</v>
      </c>
      <c r="AI20" s="264">
        <f>VLOOKUP($AC20,'Look-ups'!$A$50:$AO$118,'Look-ups'!$B$133*4+1,FALSE)*0.277778</f>
        <v>31.564763095587505</v>
      </c>
      <c r="AJ20" s="264">
        <f>AE20*$AH20/'Look-ups'!$B$141</f>
        <v>4.959206972268208</v>
      </c>
      <c r="AK20" s="264">
        <f>AF20*$AH20/'Look-ups'!$B$140</f>
        <v>16.00339001422754</v>
      </c>
      <c r="AL20" s="264">
        <f>AG20*$AH20/'Look-ups'!$B$137</f>
        <v>4.955158640045948</v>
      </c>
      <c r="AM20" s="264">
        <f>AI20/'Look-ups'!$B$136</f>
        <v>6.6452132832815805</v>
      </c>
      <c r="AN20" s="263">
        <f>AJ20*VLOOKUP($AD20,'Look-ups'!$A$123:$M$130,10,FALSE)</f>
        <v>1.3458736699738996</v>
      </c>
      <c r="AO20" s="263">
        <f>AK20*VLOOKUP($AD20,'Look-ups'!$A$123:$M$130,9,FALSE)</f>
        <v>2.4683948825744846</v>
      </c>
      <c r="AP20" s="263">
        <f>(AL20+AM20)*VLOOKUP($AD20,'Look-ups'!$A$123:$M$130,8,FALSE)</f>
        <v>3.300139540189114</v>
      </c>
      <c r="AQ20" s="263">
        <f t="shared" si="0"/>
        <v>7.114408092737499</v>
      </c>
      <c r="AR20" s="265">
        <f>AJ20*VLOOKUP($AD20,'Look-ups'!$A$123:$M$130,11,FALSE)</f>
        <v>0.02142437400267073</v>
      </c>
      <c r="AS20" s="265">
        <f>AK20*VLOOKUP($AD20,'Look-ups'!$A$123:$M$130,12,FALSE)</f>
        <v>2.9688400022793866</v>
      </c>
      <c r="AT20" s="265">
        <f>(AL20+AM20)*VLOOKUP($AD20,'Look-ups'!$A$123:$M$130,13,FALSE)</f>
        <v>2.985935733064506</v>
      </c>
      <c r="AU20" s="265">
        <f t="shared" si="1"/>
        <v>5.976200109346563</v>
      </c>
      <c r="AW20" t="s">
        <v>317</v>
      </c>
      <c r="AY20" t="s">
        <v>348</v>
      </c>
      <c r="BA20" t="s">
        <v>191</v>
      </c>
    </row>
    <row r="21" spans="1:53" ht="15">
      <c r="A21">
        <v>1017</v>
      </c>
      <c r="B21" t="s">
        <v>317</v>
      </c>
      <c r="C21">
        <v>195.1561</v>
      </c>
      <c r="D21">
        <v>15654</v>
      </c>
      <c r="E21">
        <v>80.21271177278086</v>
      </c>
      <c r="F21" t="s">
        <v>173</v>
      </c>
      <c r="G21" t="s">
        <v>164</v>
      </c>
      <c r="H21">
        <f>VLOOKUP(CONCATENATE($G21,"-",$F21,"-",$H$2),'Look-ups'!$O$3:$S$34,5,FALSE)*VLOOKUP(CONCATENATE($F21,"-",$H$2,"-",H$3),'Look-ups'!$I$3:$M$24,5,FALSE)</f>
        <v>312.66666666666663</v>
      </c>
      <c r="I21">
        <f>VLOOKUP(CONCATENATE($G21,"-",$F21,"-",$H$2),'Look-ups'!$O$3:$S$34,5,FALSE)*VLOOKUP(CONCATENATE($F21,"-",$H$2,"-",I$3),'Look-ups'!$I$3:$M$24,5,FALSE)</f>
        <v>469</v>
      </c>
      <c r="J21">
        <f>VLOOKUP(CONCATENATE($G21,"-",$F21,"-",$H$2),'Look-ups'!$O$3:$S$34,5,FALSE)*VLOOKUP(CONCATENATE($F21,"-",$H$2,"-",J$3),'Look-ups'!$I$3:$M$24,5,FALSE)</f>
        <v>547.1666666666667</v>
      </c>
      <c r="K21">
        <f>VLOOKUP(CONCATENATE($G21,"-",$F21,"-",$H$2),'Look-ups'!$O$3:$S$34,5,FALSE)*VLOOKUP(CONCATENATE($F21,"-",$H$2,"-",K$3),'Look-ups'!$I$3:$M$24,5,FALSE)</f>
        <v>703.5</v>
      </c>
      <c r="L21">
        <f>VLOOKUP(CONCATENATE($G21,"-",$F21,"-",$H$2),'Look-ups'!$O$3:$S$34,5,FALSE)*VLOOKUP(CONCATENATE($F21,"-",$H$2,"-",L$3),'Look-ups'!$I$3:$M$24,5,FALSE)</f>
        <v>781.6666666666667</v>
      </c>
      <c r="M21">
        <f>VLOOKUP(CONCATENATE($G21,"-",$F21,"-",$H$2),'Look-ups'!$O$3:$S$34,5,FALSE)*VLOOKUP(CONCATENATE($F21,"-",$H$2,"-",M$3),'Look-ups'!$I$3:$M$24,5,FALSE)</f>
        <v>859.8333333333333</v>
      </c>
      <c r="N21">
        <f>VLOOKUP(CONCATENATE($G21,"-",$F21,"-",$N$2),'Look-ups'!$O$3:$S$34,5,FALSE)*VLOOKUP(CONCATENATE($F21,"-",$N$2,"-",N$3),'Look-ups'!$I$3:$M$24,5,FALSE)</f>
        <v>312</v>
      </c>
      <c r="O21">
        <f>VLOOKUP(CONCATENATE($G21,"-",$F21,"-",$N$2),'Look-ups'!$O$3:$S$34,5,FALSE)*VLOOKUP(CONCATENATE($F21,"-",$N$2,"-",O$3),'Look-ups'!$I$3:$M$24,5,FALSE)</f>
        <v>312</v>
      </c>
      <c r="P21">
        <f>VLOOKUP(CONCATENATE($G21,"-",$F21,"-",$N$2),'Look-ups'!$O$3:$S$34,5,FALSE)*VLOOKUP(CONCATENATE($F21,"-",$N$2,"-",P$3),'Look-ups'!$I$3:$M$24,5,FALSE)</f>
        <v>416</v>
      </c>
      <c r="Q21">
        <f>VLOOKUP(CONCATENATE($G21,"-",$F21,"-",$N$2),'Look-ups'!$O$3:$S$34,5,FALSE)*VLOOKUP(CONCATENATE($F21,"-",$N$2,"-",Q$3),'Look-ups'!$I$3:$M$24,5,FALSE)</f>
        <v>534.8571428571429</v>
      </c>
      <c r="R21">
        <f>VLOOKUP(CONCATENATE($G21,"-",$F21,"-",$N$2),'Look-ups'!$O$3:$S$34,5,FALSE)*VLOOKUP(CONCATENATE($F21,"-",$N$2,"-",R$3),'Look-ups'!$I$3:$M$24,5,FALSE)</f>
        <v>609.1428571428571</v>
      </c>
      <c r="S21" s="117">
        <f>VLOOKUP(CONCATENATE($G21,"-",$F21,"-Lone Person"),'Look-ups'!$Y$4:$AG$35,5,FALSE)</f>
        <v>106</v>
      </c>
      <c r="T21">
        <f>VLOOKUP(CONCATENATE($G21,"-",$F21,"-Lone Person"),'Look-ups'!$Y$4:$AG$35,6,FALSE)</f>
        <v>151.58</v>
      </c>
      <c r="U21">
        <f>VLOOKUP(CONCATENATE($G21,"-",$F21,"-Lone Person"),'Look-ups'!$Y$4:$AG$35,7,FALSE)</f>
        <v>181.26000000000002</v>
      </c>
      <c r="V21">
        <f>VLOOKUP(CONCATENATE($G21,"-",$F21,"-Lone Person"),'Look-ups'!$Y$4:$AG$35,8,FALSE)</f>
        <v>221.54000000000002</v>
      </c>
      <c r="W21">
        <f>VLOOKUP(CONCATENATE($G21,"-",$F21,"-Lone Person"),'Look-ups'!$Y$4:$AG$35,9,FALSE)</f>
        <v>210.94</v>
      </c>
      <c r="X21" s="117">
        <f>VLOOKUP(CONCATENATE($G21,"-",$F21,"-Couple Only"),'Look-ups'!$Y$4:$AG$35,5,FALSE)</f>
        <v>171.72</v>
      </c>
      <c r="Y21">
        <f>VLOOKUP(CONCATENATE($G21,"-",$F21,"-Couple Only"),'Look-ups'!$Y$4:$AG$35,6,FALSE)</f>
        <v>162.18</v>
      </c>
      <c r="Z21">
        <f>VLOOKUP(CONCATENATE($G21,"-",$F21,"-Couple Only"),'Look-ups'!$Y$4:$AG$35,7,FALSE)</f>
        <v>183.38</v>
      </c>
      <c r="AA21">
        <f>VLOOKUP(CONCATENATE($G21,"-",$F21,"-Couple Only"),'Look-ups'!$Y$4:$AG$35,8,FALSE)</f>
        <v>202.46</v>
      </c>
      <c r="AB21">
        <f>VLOOKUP(CONCATENATE($G21,"-",$F21,"-Couple Only"),'Look-ups'!$Y$4:$AG$35,9,FALSE)</f>
        <v>254.4</v>
      </c>
      <c r="AC21">
        <v>11</v>
      </c>
      <c r="AD21" t="s">
        <v>164</v>
      </c>
      <c r="AE21" s="260">
        <f>VLOOKUP($AD21,'Look-ups'!$A$122:$G$130,5,FALSE)</f>
        <v>0.09143686502177067</v>
      </c>
      <c r="AF21" s="260">
        <f>VLOOKUP($AD21,'Look-ups'!$A$122:$G$130,6,FALSE)</f>
        <v>0.2815674891146589</v>
      </c>
      <c r="AG21" s="260">
        <f>VLOOKUP($AD21,'Look-ups'!$A$122:$G$130,7,FALSE)</f>
        <v>0.6269956458635704</v>
      </c>
      <c r="AH21" s="264">
        <f>VLOOKUP($AC21,'Look-ups'!$A$50:$AO$118,'Look-ups'!$B$133*4,FALSE)*0.277778</f>
        <v>7.719494328746668</v>
      </c>
      <c r="AI21" s="264">
        <f>VLOOKUP($AC21,'Look-ups'!$A$50:$AO$118,'Look-ups'!$B$133*4+1,FALSE)*0.277778</f>
        <v>18.947193671253334</v>
      </c>
      <c r="AJ21" s="264">
        <f>AE21*$AH21/'Look-ups'!$B$141</f>
        <v>0.9226749816652724</v>
      </c>
      <c r="AK21" s="264">
        <f>AF21*$AH21/'Look-ups'!$B$140</f>
        <v>2.977477582712395</v>
      </c>
      <c r="AL21" s="264">
        <f>AG21*$AH21/'Look-ups'!$B$137</f>
        <v>0.9219217775986068</v>
      </c>
      <c r="AM21" s="264">
        <f>AI21/'Look-ups'!$B$136</f>
        <v>3.9888828781585968</v>
      </c>
      <c r="AN21" s="263">
        <f>AJ21*VLOOKUP($AD21,'Look-ups'!$A$123:$M$130,10,FALSE)</f>
        <v>0.25040373807971417</v>
      </c>
      <c r="AO21" s="263">
        <f>AK21*VLOOKUP($AD21,'Look-ups'!$A$123:$M$130,9,FALSE)</f>
        <v>0.4592520973127253</v>
      </c>
      <c r="AP21" s="263">
        <f>(AL21+AM21)*VLOOKUP($AD21,'Look-ups'!$A$123:$M$130,8,FALSE)</f>
        <v>1.3970535363628585</v>
      </c>
      <c r="AQ21" s="263">
        <f t="shared" si="0"/>
        <v>2.106709371755298</v>
      </c>
      <c r="AR21" s="265">
        <f>AJ21*VLOOKUP($AD21,'Look-ups'!$A$123:$M$130,11,FALSE)</f>
        <v>0.003986067530684836</v>
      </c>
      <c r="AS21" s="265">
        <f>AK21*VLOOKUP($AD21,'Look-ups'!$A$123:$M$130,12,FALSE)</f>
        <v>0.5523613775323819</v>
      </c>
      <c r="AT21" s="265">
        <f>(AL21+AM21)*VLOOKUP($AD21,'Look-ups'!$A$123:$M$130,13,FALSE)</f>
        <v>1.2640411183919043</v>
      </c>
      <c r="AU21" s="265">
        <f t="shared" si="1"/>
        <v>1.820388563454971</v>
      </c>
      <c r="AW21" t="s">
        <v>318</v>
      </c>
      <c r="AY21" t="s">
        <v>349</v>
      </c>
      <c r="BA21" t="s">
        <v>368</v>
      </c>
    </row>
    <row r="22" spans="1:53" ht="15">
      <c r="A22">
        <v>1018</v>
      </c>
      <c r="B22" t="s">
        <v>318</v>
      </c>
      <c r="C22">
        <v>88.5366</v>
      </c>
      <c r="D22">
        <v>28816</v>
      </c>
      <c r="E22">
        <v>325.46991865510984</v>
      </c>
      <c r="F22" t="s">
        <v>173</v>
      </c>
      <c r="G22" t="s">
        <v>164</v>
      </c>
      <c r="H22">
        <f>VLOOKUP(CONCATENATE($G22,"-",$F22,"-",$H$2),'Look-ups'!$O$3:$S$34,5,FALSE)*VLOOKUP(CONCATENATE($F22,"-",$H$2,"-",H$3),'Look-ups'!$I$3:$M$24,5,FALSE)</f>
        <v>312.66666666666663</v>
      </c>
      <c r="I22">
        <f>VLOOKUP(CONCATENATE($G22,"-",$F22,"-",$H$2),'Look-ups'!$O$3:$S$34,5,FALSE)*VLOOKUP(CONCATENATE($F22,"-",$H$2,"-",I$3),'Look-ups'!$I$3:$M$24,5,FALSE)</f>
        <v>469</v>
      </c>
      <c r="J22">
        <f>VLOOKUP(CONCATENATE($G22,"-",$F22,"-",$H$2),'Look-ups'!$O$3:$S$34,5,FALSE)*VLOOKUP(CONCATENATE($F22,"-",$H$2,"-",J$3),'Look-ups'!$I$3:$M$24,5,FALSE)</f>
        <v>547.1666666666667</v>
      </c>
      <c r="K22">
        <f>VLOOKUP(CONCATENATE($G22,"-",$F22,"-",$H$2),'Look-ups'!$O$3:$S$34,5,FALSE)*VLOOKUP(CONCATENATE($F22,"-",$H$2,"-",K$3),'Look-ups'!$I$3:$M$24,5,FALSE)</f>
        <v>703.5</v>
      </c>
      <c r="L22">
        <f>VLOOKUP(CONCATENATE($G22,"-",$F22,"-",$H$2),'Look-ups'!$O$3:$S$34,5,FALSE)*VLOOKUP(CONCATENATE($F22,"-",$H$2,"-",L$3),'Look-ups'!$I$3:$M$24,5,FALSE)</f>
        <v>781.6666666666667</v>
      </c>
      <c r="M22">
        <f>VLOOKUP(CONCATENATE($G22,"-",$F22,"-",$H$2),'Look-ups'!$O$3:$S$34,5,FALSE)*VLOOKUP(CONCATENATE($F22,"-",$H$2,"-",M$3),'Look-ups'!$I$3:$M$24,5,FALSE)</f>
        <v>859.8333333333333</v>
      </c>
      <c r="N22">
        <f>VLOOKUP(CONCATENATE($G22,"-",$F22,"-",$N$2),'Look-ups'!$O$3:$S$34,5,FALSE)*VLOOKUP(CONCATENATE($F22,"-",$N$2,"-",N$3),'Look-ups'!$I$3:$M$24,5,FALSE)</f>
        <v>312</v>
      </c>
      <c r="O22">
        <f>VLOOKUP(CONCATENATE($G22,"-",$F22,"-",$N$2),'Look-ups'!$O$3:$S$34,5,FALSE)*VLOOKUP(CONCATENATE($F22,"-",$N$2,"-",O$3),'Look-ups'!$I$3:$M$24,5,FALSE)</f>
        <v>312</v>
      </c>
      <c r="P22">
        <f>VLOOKUP(CONCATENATE($G22,"-",$F22,"-",$N$2),'Look-ups'!$O$3:$S$34,5,FALSE)*VLOOKUP(CONCATENATE($F22,"-",$N$2,"-",P$3),'Look-ups'!$I$3:$M$24,5,FALSE)</f>
        <v>416</v>
      </c>
      <c r="Q22">
        <f>VLOOKUP(CONCATENATE($G22,"-",$F22,"-",$N$2),'Look-ups'!$O$3:$S$34,5,FALSE)*VLOOKUP(CONCATENATE($F22,"-",$N$2,"-",Q$3),'Look-ups'!$I$3:$M$24,5,FALSE)</f>
        <v>534.8571428571429</v>
      </c>
      <c r="R22">
        <f>VLOOKUP(CONCATENATE($G22,"-",$F22,"-",$N$2),'Look-ups'!$O$3:$S$34,5,FALSE)*VLOOKUP(CONCATENATE($F22,"-",$N$2,"-",R$3),'Look-ups'!$I$3:$M$24,5,FALSE)</f>
        <v>609.1428571428571</v>
      </c>
      <c r="S22" s="117">
        <f>VLOOKUP(CONCATENATE($G22,"-",$F22,"-Lone Person"),'Look-ups'!$Y$4:$AG$35,5,FALSE)</f>
        <v>106</v>
      </c>
      <c r="T22">
        <f>VLOOKUP(CONCATENATE($G22,"-",$F22,"-Lone Person"),'Look-ups'!$Y$4:$AG$35,6,FALSE)</f>
        <v>151.58</v>
      </c>
      <c r="U22">
        <f>VLOOKUP(CONCATENATE($G22,"-",$F22,"-Lone Person"),'Look-ups'!$Y$4:$AG$35,7,FALSE)</f>
        <v>181.26000000000002</v>
      </c>
      <c r="V22">
        <f>VLOOKUP(CONCATENATE($G22,"-",$F22,"-Lone Person"),'Look-ups'!$Y$4:$AG$35,8,FALSE)</f>
        <v>221.54000000000002</v>
      </c>
      <c r="W22">
        <f>VLOOKUP(CONCATENATE($G22,"-",$F22,"-Lone Person"),'Look-ups'!$Y$4:$AG$35,9,FALSE)</f>
        <v>210.94</v>
      </c>
      <c r="X22" s="117">
        <f>VLOOKUP(CONCATENATE($G22,"-",$F22,"-Couple Only"),'Look-ups'!$Y$4:$AG$35,5,FALSE)</f>
        <v>171.72</v>
      </c>
      <c r="Y22">
        <f>VLOOKUP(CONCATENATE($G22,"-",$F22,"-Couple Only"),'Look-ups'!$Y$4:$AG$35,6,FALSE)</f>
        <v>162.18</v>
      </c>
      <c r="Z22">
        <f>VLOOKUP(CONCATENATE($G22,"-",$F22,"-Couple Only"),'Look-ups'!$Y$4:$AG$35,7,FALSE)</f>
        <v>183.38</v>
      </c>
      <c r="AA22">
        <f>VLOOKUP(CONCATENATE($G22,"-",$F22,"-Couple Only"),'Look-ups'!$Y$4:$AG$35,8,FALSE)</f>
        <v>202.46</v>
      </c>
      <c r="AB22">
        <f>VLOOKUP(CONCATENATE($G22,"-",$F22,"-Couple Only"),'Look-ups'!$Y$4:$AG$35,9,FALSE)</f>
        <v>254.4</v>
      </c>
      <c r="AC22">
        <v>9</v>
      </c>
      <c r="AD22" t="s">
        <v>164</v>
      </c>
      <c r="AE22" s="260">
        <f>VLOOKUP($AD22,'Look-ups'!$A$122:$G$130,5,FALSE)</f>
        <v>0.09143686502177067</v>
      </c>
      <c r="AF22" s="260">
        <f>VLOOKUP($AD22,'Look-ups'!$A$122:$G$130,6,FALSE)</f>
        <v>0.2815674891146589</v>
      </c>
      <c r="AG22" s="260">
        <f>VLOOKUP($AD22,'Look-ups'!$A$122:$G$130,7,FALSE)</f>
        <v>0.6269956458635704</v>
      </c>
      <c r="AH22" s="264">
        <f>VLOOKUP($AC22,'Look-ups'!$A$50:$AO$118,'Look-ups'!$B$133*4,FALSE)*0.277778</f>
        <v>14.028700976231834</v>
      </c>
      <c r="AI22" s="264">
        <f>VLOOKUP($AC22,'Look-ups'!$A$50:$AO$118,'Look-ups'!$B$133*4+1,FALSE)*0.277778</f>
        <v>33.47133702376817</v>
      </c>
      <c r="AJ22" s="264">
        <f>AE22*$AH22/'Look-ups'!$B$141</f>
        <v>1.676784885744435</v>
      </c>
      <c r="AK22" s="264">
        <f>AF22*$AH22/'Look-ups'!$B$140</f>
        <v>5.410994670435564</v>
      </c>
      <c r="AL22" s="264">
        <f>AG22*$AH22/'Look-ups'!$B$137</f>
        <v>1.6754160817560722</v>
      </c>
      <c r="AM22" s="264">
        <f>AI22/'Look-ups'!$B$136</f>
        <v>7.046597268161721</v>
      </c>
      <c r="AN22" s="263">
        <f>AJ22*VLOOKUP($AD22,'Look-ups'!$A$123:$M$130,10,FALSE)</f>
        <v>0.4550607870478646</v>
      </c>
      <c r="AO22" s="263">
        <f>AK22*VLOOKUP($AD22,'Look-ups'!$A$123:$M$130,9,FALSE)</f>
        <v>0.8346026399573223</v>
      </c>
      <c r="AP22" s="263">
        <f>(AL22+AM22)*VLOOKUP($AD22,'Look-ups'!$A$123:$M$130,8,FALSE)</f>
        <v>2.4812877825269295</v>
      </c>
      <c r="AQ22" s="263">
        <f t="shared" si="0"/>
        <v>3.7709512095321163</v>
      </c>
      <c r="AR22" s="265">
        <f>AJ22*VLOOKUP($AD22,'Look-ups'!$A$123:$M$130,11,FALSE)</f>
        <v>0.0072439135359949666</v>
      </c>
      <c r="AS22" s="265">
        <f>AK22*VLOOKUP($AD22,'Look-ups'!$A$123:$M$130,12,FALSE)</f>
        <v>1.0038109060285294</v>
      </c>
      <c r="AT22" s="265">
        <f>(AL22+AM22)*VLOOKUP($AD22,'Look-ups'!$A$123:$M$130,13,FALSE)</f>
        <v>2.24504623626884</v>
      </c>
      <c r="AU22" s="265">
        <f t="shared" si="1"/>
        <v>3.2561010558333643</v>
      </c>
      <c r="AW22" t="s">
        <v>319</v>
      </c>
      <c r="AY22" t="s">
        <v>350</v>
      </c>
      <c r="BA22" t="s">
        <v>369</v>
      </c>
    </row>
    <row r="23" spans="1:51" ht="15">
      <c r="A23">
        <v>1019</v>
      </c>
      <c r="B23" t="s">
        <v>319</v>
      </c>
      <c r="C23">
        <v>119.984399999999</v>
      </c>
      <c r="D23">
        <v>12385</v>
      </c>
      <c r="E23">
        <v>103.22175216111513</v>
      </c>
      <c r="F23" t="s">
        <v>173</v>
      </c>
      <c r="G23" t="s">
        <v>164</v>
      </c>
      <c r="H23">
        <f>VLOOKUP(CONCATENATE($G23,"-",$F23,"-",$H$2),'Look-ups'!$O$3:$S$34,5,FALSE)*VLOOKUP(CONCATENATE($F23,"-",$H$2,"-",H$3),'Look-ups'!$I$3:$M$24,5,FALSE)</f>
        <v>312.66666666666663</v>
      </c>
      <c r="I23">
        <f>VLOOKUP(CONCATENATE($G23,"-",$F23,"-",$H$2),'Look-ups'!$O$3:$S$34,5,FALSE)*VLOOKUP(CONCATENATE($F23,"-",$H$2,"-",I$3),'Look-ups'!$I$3:$M$24,5,FALSE)</f>
        <v>469</v>
      </c>
      <c r="J23">
        <f>VLOOKUP(CONCATENATE($G23,"-",$F23,"-",$H$2),'Look-ups'!$O$3:$S$34,5,FALSE)*VLOOKUP(CONCATENATE($F23,"-",$H$2,"-",J$3),'Look-ups'!$I$3:$M$24,5,FALSE)</f>
        <v>547.1666666666667</v>
      </c>
      <c r="K23">
        <f>VLOOKUP(CONCATENATE($G23,"-",$F23,"-",$H$2),'Look-ups'!$O$3:$S$34,5,FALSE)*VLOOKUP(CONCATENATE($F23,"-",$H$2,"-",K$3),'Look-ups'!$I$3:$M$24,5,FALSE)</f>
        <v>703.5</v>
      </c>
      <c r="L23">
        <f>VLOOKUP(CONCATENATE($G23,"-",$F23,"-",$H$2),'Look-ups'!$O$3:$S$34,5,FALSE)*VLOOKUP(CONCATENATE($F23,"-",$H$2,"-",L$3),'Look-ups'!$I$3:$M$24,5,FALSE)</f>
        <v>781.6666666666667</v>
      </c>
      <c r="M23">
        <f>VLOOKUP(CONCATENATE($G23,"-",$F23,"-",$H$2),'Look-ups'!$O$3:$S$34,5,FALSE)*VLOOKUP(CONCATENATE($F23,"-",$H$2,"-",M$3),'Look-ups'!$I$3:$M$24,5,FALSE)</f>
        <v>859.8333333333333</v>
      </c>
      <c r="N23">
        <f>VLOOKUP(CONCATENATE($G23,"-",$F23,"-",$N$2),'Look-ups'!$O$3:$S$34,5,FALSE)*VLOOKUP(CONCATENATE($F23,"-",$N$2,"-",N$3),'Look-ups'!$I$3:$M$24,5,FALSE)</f>
        <v>312</v>
      </c>
      <c r="O23">
        <f>VLOOKUP(CONCATENATE($G23,"-",$F23,"-",$N$2),'Look-ups'!$O$3:$S$34,5,FALSE)*VLOOKUP(CONCATENATE($F23,"-",$N$2,"-",O$3),'Look-ups'!$I$3:$M$24,5,FALSE)</f>
        <v>312</v>
      </c>
      <c r="P23">
        <f>VLOOKUP(CONCATENATE($G23,"-",$F23,"-",$N$2),'Look-ups'!$O$3:$S$34,5,FALSE)*VLOOKUP(CONCATENATE($F23,"-",$N$2,"-",P$3),'Look-ups'!$I$3:$M$24,5,FALSE)</f>
        <v>416</v>
      </c>
      <c r="Q23">
        <f>VLOOKUP(CONCATENATE($G23,"-",$F23,"-",$N$2),'Look-ups'!$O$3:$S$34,5,FALSE)*VLOOKUP(CONCATENATE($F23,"-",$N$2,"-",Q$3),'Look-ups'!$I$3:$M$24,5,FALSE)</f>
        <v>534.8571428571429</v>
      </c>
      <c r="R23">
        <f>VLOOKUP(CONCATENATE($G23,"-",$F23,"-",$N$2),'Look-ups'!$O$3:$S$34,5,FALSE)*VLOOKUP(CONCATENATE($F23,"-",$N$2,"-",R$3),'Look-ups'!$I$3:$M$24,5,FALSE)</f>
        <v>609.1428571428571</v>
      </c>
      <c r="S23" s="117">
        <f>VLOOKUP(CONCATENATE($G23,"-",$F23,"-Lone Person"),'Look-ups'!$Y$4:$AG$35,5,FALSE)</f>
        <v>106</v>
      </c>
      <c r="T23">
        <f>VLOOKUP(CONCATENATE($G23,"-",$F23,"-Lone Person"),'Look-ups'!$Y$4:$AG$35,6,FALSE)</f>
        <v>151.58</v>
      </c>
      <c r="U23">
        <f>VLOOKUP(CONCATENATE($G23,"-",$F23,"-Lone Person"),'Look-ups'!$Y$4:$AG$35,7,FALSE)</f>
        <v>181.26000000000002</v>
      </c>
      <c r="V23">
        <f>VLOOKUP(CONCATENATE($G23,"-",$F23,"-Lone Person"),'Look-ups'!$Y$4:$AG$35,8,FALSE)</f>
        <v>221.54000000000002</v>
      </c>
      <c r="W23">
        <f>VLOOKUP(CONCATENATE($G23,"-",$F23,"-Lone Person"),'Look-ups'!$Y$4:$AG$35,9,FALSE)</f>
        <v>210.94</v>
      </c>
      <c r="X23" s="117">
        <f>VLOOKUP(CONCATENATE($G23,"-",$F23,"-Couple Only"),'Look-ups'!$Y$4:$AG$35,5,FALSE)</f>
        <v>171.72</v>
      </c>
      <c r="Y23">
        <f>VLOOKUP(CONCATENATE($G23,"-",$F23,"-Couple Only"),'Look-ups'!$Y$4:$AG$35,6,FALSE)</f>
        <v>162.18</v>
      </c>
      <c r="Z23">
        <f>VLOOKUP(CONCATENATE($G23,"-",$F23,"-Couple Only"),'Look-ups'!$Y$4:$AG$35,7,FALSE)</f>
        <v>183.38</v>
      </c>
      <c r="AA23">
        <f>VLOOKUP(CONCATENATE($G23,"-",$F23,"-Couple Only"),'Look-ups'!$Y$4:$AG$35,8,FALSE)</f>
        <v>202.46</v>
      </c>
      <c r="AB23">
        <f>VLOOKUP(CONCATENATE($G23,"-",$F23,"-Couple Only"),'Look-ups'!$Y$4:$AG$35,9,FALSE)</f>
        <v>254.4</v>
      </c>
      <c r="AC23">
        <v>65</v>
      </c>
      <c r="AD23" t="s">
        <v>164</v>
      </c>
      <c r="AE23" s="260">
        <f>VLOOKUP($AD23,'Look-ups'!$A$122:$G$130,5,FALSE)</f>
        <v>0.09143686502177067</v>
      </c>
      <c r="AF23" s="260">
        <f>VLOOKUP($AD23,'Look-ups'!$A$122:$G$130,6,FALSE)</f>
        <v>0.2815674891146589</v>
      </c>
      <c r="AG23" s="260">
        <f>VLOOKUP($AD23,'Look-ups'!$A$122:$G$130,7,FALSE)</f>
        <v>0.6269956458635704</v>
      </c>
      <c r="AH23" s="264">
        <f>VLOOKUP($AC23,'Look-ups'!$A$50:$AO$118,'Look-ups'!$B$133*4,FALSE)*0.277778</f>
        <v>118.60883174298655</v>
      </c>
      <c r="AI23" s="264">
        <f>VLOOKUP($AC23,'Look-ups'!$A$50:$AO$118,'Look-ups'!$B$133*4+1,FALSE)*0.277778</f>
        <v>10.00238225701346</v>
      </c>
      <c r="AJ23" s="264">
        <f>AE23*$AH23/'Look-ups'!$B$141</f>
        <v>14.176757828069766</v>
      </c>
      <c r="AK23" s="264">
        <f>AF23*$AH23/'Look-ups'!$B$140</f>
        <v>45.74848074067914</v>
      </c>
      <c r="AL23" s="264">
        <f>AG23*$AH23/'Look-ups'!$B$137</f>
        <v>14.165184964536646</v>
      </c>
      <c r="AM23" s="264">
        <f>AI23/'Look-ups'!$B$136</f>
        <v>2.1057646856870442</v>
      </c>
      <c r="AN23" s="263">
        <f>AJ23*VLOOKUP($AD23,'Look-ups'!$A$123:$M$130,10,FALSE)</f>
        <v>3.847414555006711</v>
      </c>
      <c r="AO23" s="263">
        <f>AK23*VLOOKUP($AD23,'Look-ups'!$A$123:$M$130,9,FALSE)</f>
        <v>7.056337166403833</v>
      </c>
      <c r="AP23" s="263">
        <f>(AL23+AM23)*VLOOKUP($AD23,'Look-ups'!$A$123:$M$130,8,FALSE)</f>
        <v>4.628851958543653</v>
      </c>
      <c r="AQ23" s="263">
        <f t="shared" si="0"/>
        <v>15.532603679954196</v>
      </c>
      <c r="AR23" s="265">
        <f>AJ23*VLOOKUP($AD23,'Look-ups'!$A$123:$M$130,11,FALSE)</f>
        <v>0.06124530868590459</v>
      </c>
      <c r="AS23" s="265">
        <f>AK23*VLOOKUP($AD23,'Look-ups'!$A$123:$M$130,12,FALSE)</f>
        <v>8.4869467997523</v>
      </c>
      <c r="AT23" s="265">
        <f>(AL23+AM23)*VLOOKUP($AD23,'Look-ups'!$A$123:$M$130,13,FALSE)</f>
        <v>4.188142439967579</v>
      </c>
      <c r="AU23" s="265">
        <f t="shared" si="1"/>
        <v>12.736334548405782</v>
      </c>
      <c r="AW23" t="s">
        <v>584</v>
      </c>
      <c r="AY23" t="s">
        <v>351</v>
      </c>
    </row>
    <row r="24" spans="1:51" ht="15">
      <c r="A24">
        <v>1020</v>
      </c>
      <c r="B24" t="s">
        <v>584</v>
      </c>
      <c r="C24">
        <v>365.182</v>
      </c>
      <c r="D24">
        <v>15020</v>
      </c>
      <c r="E24">
        <v>41.13017618612089</v>
      </c>
      <c r="F24" t="s">
        <v>173</v>
      </c>
      <c r="G24" t="s">
        <v>164</v>
      </c>
      <c r="H24">
        <f>VLOOKUP(CONCATENATE($G24,"-",$F24,"-",$H$2),'Look-ups'!$O$3:$S$34,5,FALSE)*VLOOKUP(CONCATENATE($F24,"-",$H$2,"-",H$3),'Look-ups'!$I$3:$M$24,5,FALSE)</f>
        <v>312.66666666666663</v>
      </c>
      <c r="I24">
        <f>VLOOKUP(CONCATENATE($G24,"-",$F24,"-",$H$2),'Look-ups'!$O$3:$S$34,5,FALSE)*VLOOKUP(CONCATENATE($F24,"-",$H$2,"-",I$3),'Look-ups'!$I$3:$M$24,5,FALSE)</f>
        <v>469</v>
      </c>
      <c r="J24">
        <f>VLOOKUP(CONCATENATE($G24,"-",$F24,"-",$H$2),'Look-ups'!$O$3:$S$34,5,FALSE)*VLOOKUP(CONCATENATE($F24,"-",$H$2,"-",J$3),'Look-ups'!$I$3:$M$24,5,FALSE)</f>
        <v>547.1666666666667</v>
      </c>
      <c r="K24">
        <f>VLOOKUP(CONCATENATE($G24,"-",$F24,"-",$H$2),'Look-ups'!$O$3:$S$34,5,FALSE)*VLOOKUP(CONCATENATE($F24,"-",$H$2,"-",K$3),'Look-ups'!$I$3:$M$24,5,FALSE)</f>
        <v>703.5</v>
      </c>
      <c r="L24">
        <f>VLOOKUP(CONCATENATE($G24,"-",$F24,"-",$H$2),'Look-ups'!$O$3:$S$34,5,FALSE)*VLOOKUP(CONCATENATE($F24,"-",$H$2,"-",L$3),'Look-ups'!$I$3:$M$24,5,FALSE)</f>
        <v>781.6666666666667</v>
      </c>
      <c r="M24">
        <f>VLOOKUP(CONCATENATE($G24,"-",$F24,"-",$H$2),'Look-ups'!$O$3:$S$34,5,FALSE)*VLOOKUP(CONCATENATE($F24,"-",$H$2,"-",M$3),'Look-ups'!$I$3:$M$24,5,FALSE)</f>
        <v>859.8333333333333</v>
      </c>
      <c r="N24">
        <f>VLOOKUP(CONCATENATE($G24,"-",$F24,"-",$N$2),'Look-ups'!$O$3:$S$34,5,FALSE)*VLOOKUP(CONCATENATE($F24,"-",$N$2,"-",N$3),'Look-ups'!$I$3:$M$24,5,FALSE)</f>
        <v>312</v>
      </c>
      <c r="O24">
        <f>VLOOKUP(CONCATENATE($G24,"-",$F24,"-",$N$2),'Look-ups'!$O$3:$S$34,5,FALSE)*VLOOKUP(CONCATENATE($F24,"-",$N$2,"-",O$3),'Look-ups'!$I$3:$M$24,5,FALSE)</f>
        <v>312</v>
      </c>
      <c r="P24">
        <f>VLOOKUP(CONCATENATE($G24,"-",$F24,"-",$N$2),'Look-ups'!$O$3:$S$34,5,FALSE)*VLOOKUP(CONCATENATE($F24,"-",$N$2,"-",P$3),'Look-ups'!$I$3:$M$24,5,FALSE)</f>
        <v>416</v>
      </c>
      <c r="Q24">
        <f>VLOOKUP(CONCATENATE($G24,"-",$F24,"-",$N$2),'Look-ups'!$O$3:$S$34,5,FALSE)*VLOOKUP(CONCATENATE($F24,"-",$N$2,"-",Q$3),'Look-ups'!$I$3:$M$24,5,FALSE)</f>
        <v>534.8571428571429</v>
      </c>
      <c r="R24">
        <f>VLOOKUP(CONCATENATE($G24,"-",$F24,"-",$N$2),'Look-ups'!$O$3:$S$34,5,FALSE)*VLOOKUP(CONCATENATE($F24,"-",$N$2,"-",R$3),'Look-ups'!$I$3:$M$24,5,FALSE)</f>
        <v>609.1428571428571</v>
      </c>
      <c r="S24" s="117">
        <f>VLOOKUP(CONCATENATE($G24,"-",$F24,"-Lone Person"),'Look-ups'!$Y$4:$AG$35,5,FALSE)</f>
        <v>106</v>
      </c>
      <c r="T24">
        <f>VLOOKUP(CONCATENATE($G24,"-",$F24,"-Lone Person"),'Look-ups'!$Y$4:$AG$35,6,FALSE)</f>
        <v>151.58</v>
      </c>
      <c r="U24">
        <f>VLOOKUP(CONCATENATE($G24,"-",$F24,"-Lone Person"),'Look-ups'!$Y$4:$AG$35,7,FALSE)</f>
        <v>181.26000000000002</v>
      </c>
      <c r="V24">
        <f>VLOOKUP(CONCATENATE($G24,"-",$F24,"-Lone Person"),'Look-ups'!$Y$4:$AG$35,8,FALSE)</f>
        <v>221.54000000000002</v>
      </c>
      <c r="W24">
        <f>VLOOKUP(CONCATENATE($G24,"-",$F24,"-Lone Person"),'Look-ups'!$Y$4:$AG$35,9,FALSE)</f>
        <v>210.94</v>
      </c>
      <c r="X24" s="117">
        <f>VLOOKUP(CONCATENATE($G24,"-",$F24,"-Couple Only"),'Look-ups'!$Y$4:$AG$35,5,FALSE)</f>
        <v>171.72</v>
      </c>
      <c r="Y24">
        <f>VLOOKUP(CONCATENATE($G24,"-",$F24,"-Couple Only"),'Look-ups'!$Y$4:$AG$35,6,FALSE)</f>
        <v>162.18</v>
      </c>
      <c r="Z24">
        <f>VLOOKUP(CONCATENATE($G24,"-",$F24,"-Couple Only"),'Look-ups'!$Y$4:$AG$35,7,FALSE)</f>
        <v>183.38</v>
      </c>
      <c r="AA24">
        <f>VLOOKUP(CONCATENATE($G24,"-",$F24,"-Couple Only"),'Look-ups'!$Y$4:$AG$35,8,FALSE)</f>
        <v>202.46</v>
      </c>
      <c r="AB24">
        <f>VLOOKUP(CONCATENATE($G24,"-",$F24,"-Couple Only"),'Look-ups'!$Y$4:$AG$35,9,FALSE)</f>
        <v>254.4</v>
      </c>
      <c r="AC24">
        <v>15</v>
      </c>
      <c r="AD24" t="s">
        <v>164</v>
      </c>
      <c r="AE24" s="260">
        <f>VLOOKUP($AD24,'Look-ups'!$A$122:$G$130,5,FALSE)</f>
        <v>0.09143686502177067</v>
      </c>
      <c r="AF24" s="260">
        <f>VLOOKUP($AD24,'Look-ups'!$A$122:$G$130,6,FALSE)</f>
        <v>0.2815674891146589</v>
      </c>
      <c r="AG24" s="260">
        <f>VLOOKUP($AD24,'Look-ups'!$A$122:$G$130,7,FALSE)</f>
        <v>0.6269956458635704</v>
      </c>
      <c r="AH24" s="264">
        <f>VLOOKUP($AC24,'Look-ups'!$A$50:$AO$118,'Look-ups'!$B$133*4,FALSE)*0.277778</f>
        <v>18.72728904402556</v>
      </c>
      <c r="AI24" s="264">
        <f>VLOOKUP($AC24,'Look-ups'!$A$50:$AO$118,'Look-ups'!$B$133*4+1,FALSE)*0.277778</f>
        <v>17.939406955974444</v>
      </c>
      <c r="AJ24" s="264">
        <f>AE24*$AH24/'Look-ups'!$B$141</f>
        <v>2.2383850987480396</v>
      </c>
      <c r="AK24" s="264">
        <f>AF24*$AH24/'Look-ups'!$B$140</f>
        <v>7.223281854864025</v>
      </c>
      <c r="AL24" s="264">
        <f>AG24*$AH24/'Look-ups'!$B$137</f>
        <v>2.236557845606204</v>
      </c>
      <c r="AM24" s="264">
        <f>AI24/'Look-ups'!$B$136</f>
        <v>3.7767172538893568</v>
      </c>
      <c r="AN24" s="263">
        <f>AJ24*VLOOKUP($AD24,'Look-ups'!$A$123:$M$130,10,FALSE)</f>
        <v>0.6074728448546762</v>
      </c>
      <c r="AO24" s="263">
        <f>AK24*VLOOKUP($AD24,'Look-ups'!$A$123:$M$130,9,FALSE)</f>
        <v>1.114133439857937</v>
      </c>
      <c r="AP24" s="263">
        <f>(AL24+AM24)*VLOOKUP($AD24,'Look-ups'!$A$123:$M$130,8,FALSE)</f>
        <v>1.7106905755300605</v>
      </c>
      <c r="AQ24" s="263">
        <f t="shared" si="0"/>
        <v>3.4322968602426736</v>
      </c>
      <c r="AR24" s="265">
        <f>AJ24*VLOOKUP($AD24,'Look-ups'!$A$123:$M$130,11,FALSE)</f>
        <v>0.009670094389234428</v>
      </c>
      <c r="AS24" s="265">
        <f>AK24*VLOOKUP($AD24,'Look-ups'!$A$123:$M$130,12,FALSE)</f>
        <v>1.340014090726656</v>
      </c>
      <c r="AT24" s="265">
        <f>(AL24+AM24)*VLOOKUP($AD24,'Look-ups'!$A$123:$M$130,13,FALSE)</f>
        <v>1.5478170106101574</v>
      </c>
      <c r="AU24" s="265">
        <f t="shared" si="1"/>
        <v>2.897501195726048</v>
      </c>
      <c r="AW24" t="s">
        <v>320</v>
      </c>
      <c r="AY24" t="s">
        <v>352</v>
      </c>
    </row>
    <row r="25" spans="1:49" ht="15">
      <c r="A25">
        <v>1021</v>
      </c>
      <c r="B25" t="s">
        <v>320</v>
      </c>
      <c r="C25">
        <v>340.68</v>
      </c>
      <c r="D25">
        <v>27828</v>
      </c>
      <c r="E25">
        <v>81.68369144064812</v>
      </c>
      <c r="F25" t="s">
        <v>173</v>
      </c>
      <c r="G25" t="s">
        <v>164</v>
      </c>
      <c r="H25">
        <f>VLOOKUP(CONCATENATE($G25,"-",$F25,"-",$H$2),'Look-ups'!$O$3:$S$34,5,FALSE)*VLOOKUP(CONCATENATE($F25,"-",$H$2,"-",H$3),'Look-ups'!$I$3:$M$24,5,FALSE)</f>
        <v>312.66666666666663</v>
      </c>
      <c r="I25">
        <f>VLOOKUP(CONCATENATE($G25,"-",$F25,"-",$H$2),'Look-ups'!$O$3:$S$34,5,FALSE)*VLOOKUP(CONCATENATE($F25,"-",$H$2,"-",I$3),'Look-ups'!$I$3:$M$24,5,FALSE)</f>
        <v>469</v>
      </c>
      <c r="J25">
        <f>VLOOKUP(CONCATENATE($G25,"-",$F25,"-",$H$2),'Look-ups'!$O$3:$S$34,5,FALSE)*VLOOKUP(CONCATENATE($F25,"-",$H$2,"-",J$3),'Look-ups'!$I$3:$M$24,5,FALSE)</f>
        <v>547.1666666666667</v>
      </c>
      <c r="K25">
        <f>VLOOKUP(CONCATENATE($G25,"-",$F25,"-",$H$2),'Look-ups'!$O$3:$S$34,5,FALSE)*VLOOKUP(CONCATENATE($F25,"-",$H$2,"-",K$3),'Look-ups'!$I$3:$M$24,5,FALSE)</f>
        <v>703.5</v>
      </c>
      <c r="L25">
        <f>VLOOKUP(CONCATENATE($G25,"-",$F25,"-",$H$2),'Look-ups'!$O$3:$S$34,5,FALSE)*VLOOKUP(CONCATENATE($F25,"-",$H$2,"-",L$3),'Look-ups'!$I$3:$M$24,5,FALSE)</f>
        <v>781.6666666666667</v>
      </c>
      <c r="M25">
        <f>VLOOKUP(CONCATENATE($G25,"-",$F25,"-",$H$2),'Look-ups'!$O$3:$S$34,5,FALSE)*VLOOKUP(CONCATENATE($F25,"-",$H$2,"-",M$3),'Look-ups'!$I$3:$M$24,5,FALSE)</f>
        <v>859.8333333333333</v>
      </c>
      <c r="N25">
        <f>VLOOKUP(CONCATENATE($G25,"-",$F25,"-",$N$2),'Look-ups'!$O$3:$S$34,5,FALSE)*VLOOKUP(CONCATENATE($F25,"-",$N$2,"-",N$3),'Look-ups'!$I$3:$M$24,5,FALSE)</f>
        <v>312</v>
      </c>
      <c r="O25">
        <f>VLOOKUP(CONCATENATE($G25,"-",$F25,"-",$N$2),'Look-ups'!$O$3:$S$34,5,FALSE)*VLOOKUP(CONCATENATE($F25,"-",$N$2,"-",O$3),'Look-ups'!$I$3:$M$24,5,FALSE)</f>
        <v>312</v>
      </c>
      <c r="P25">
        <f>VLOOKUP(CONCATENATE($G25,"-",$F25,"-",$N$2),'Look-ups'!$O$3:$S$34,5,FALSE)*VLOOKUP(CONCATENATE($F25,"-",$N$2,"-",P$3),'Look-ups'!$I$3:$M$24,5,FALSE)</f>
        <v>416</v>
      </c>
      <c r="Q25">
        <f>VLOOKUP(CONCATENATE($G25,"-",$F25,"-",$N$2),'Look-ups'!$O$3:$S$34,5,FALSE)*VLOOKUP(CONCATENATE($F25,"-",$N$2,"-",Q$3),'Look-ups'!$I$3:$M$24,5,FALSE)</f>
        <v>534.8571428571429</v>
      </c>
      <c r="R25">
        <f>VLOOKUP(CONCATENATE($G25,"-",$F25,"-",$N$2),'Look-ups'!$O$3:$S$34,5,FALSE)*VLOOKUP(CONCATENATE($F25,"-",$N$2,"-",R$3),'Look-ups'!$I$3:$M$24,5,FALSE)</f>
        <v>609.1428571428571</v>
      </c>
      <c r="S25" s="117">
        <f>VLOOKUP(CONCATENATE($G25,"-",$F25,"-Lone Person"),'Look-ups'!$Y$4:$AG$35,5,FALSE)</f>
        <v>106</v>
      </c>
      <c r="T25">
        <f>VLOOKUP(CONCATENATE($G25,"-",$F25,"-Lone Person"),'Look-ups'!$Y$4:$AG$35,6,FALSE)</f>
        <v>151.58</v>
      </c>
      <c r="U25">
        <f>VLOOKUP(CONCATENATE($G25,"-",$F25,"-Lone Person"),'Look-ups'!$Y$4:$AG$35,7,FALSE)</f>
        <v>181.26000000000002</v>
      </c>
      <c r="V25">
        <f>VLOOKUP(CONCATENATE($G25,"-",$F25,"-Lone Person"),'Look-ups'!$Y$4:$AG$35,8,FALSE)</f>
        <v>221.54000000000002</v>
      </c>
      <c r="W25">
        <f>VLOOKUP(CONCATENATE($G25,"-",$F25,"-Lone Person"),'Look-ups'!$Y$4:$AG$35,9,FALSE)</f>
        <v>210.94</v>
      </c>
      <c r="X25" s="117">
        <f>VLOOKUP(CONCATENATE($G25,"-",$F25,"-Couple Only"),'Look-ups'!$Y$4:$AG$35,5,FALSE)</f>
        <v>171.72</v>
      </c>
      <c r="Y25">
        <f>VLOOKUP(CONCATENATE($G25,"-",$F25,"-Couple Only"),'Look-ups'!$Y$4:$AG$35,6,FALSE)</f>
        <v>162.18</v>
      </c>
      <c r="Z25">
        <f>VLOOKUP(CONCATENATE($G25,"-",$F25,"-Couple Only"),'Look-ups'!$Y$4:$AG$35,7,FALSE)</f>
        <v>183.38</v>
      </c>
      <c r="AA25">
        <f>VLOOKUP(CONCATENATE($G25,"-",$F25,"-Couple Only"),'Look-ups'!$Y$4:$AG$35,8,FALSE)</f>
        <v>202.46</v>
      </c>
      <c r="AB25">
        <f>VLOOKUP(CONCATENATE($G25,"-",$F25,"-Couple Only"),'Look-ups'!$Y$4:$AG$35,9,FALSE)</f>
        <v>254.4</v>
      </c>
      <c r="AC25">
        <v>15</v>
      </c>
      <c r="AD25" t="s">
        <v>164</v>
      </c>
      <c r="AE25" s="260">
        <f>VLOOKUP($AD25,'Look-ups'!$A$122:$G$130,5,FALSE)</f>
        <v>0.09143686502177067</v>
      </c>
      <c r="AF25" s="260">
        <f>VLOOKUP($AD25,'Look-ups'!$A$122:$G$130,6,FALSE)</f>
        <v>0.2815674891146589</v>
      </c>
      <c r="AG25" s="260">
        <f>VLOOKUP($AD25,'Look-ups'!$A$122:$G$130,7,FALSE)</f>
        <v>0.6269956458635704</v>
      </c>
      <c r="AH25" s="264">
        <f>VLOOKUP($AC25,'Look-ups'!$A$50:$AO$118,'Look-ups'!$B$133*4,FALSE)*0.277778</f>
        <v>18.72728904402556</v>
      </c>
      <c r="AI25" s="264">
        <f>VLOOKUP($AC25,'Look-ups'!$A$50:$AO$118,'Look-ups'!$B$133*4+1,FALSE)*0.277778</f>
        <v>17.939406955974444</v>
      </c>
      <c r="AJ25" s="264">
        <f>AE25*$AH25/'Look-ups'!$B$141</f>
        <v>2.2383850987480396</v>
      </c>
      <c r="AK25" s="264">
        <f>AF25*$AH25/'Look-ups'!$B$140</f>
        <v>7.223281854864025</v>
      </c>
      <c r="AL25" s="264">
        <f>AG25*$AH25/'Look-ups'!$B$137</f>
        <v>2.236557845606204</v>
      </c>
      <c r="AM25" s="264">
        <f>AI25/'Look-ups'!$B$136</f>
        <v>3.7767172538893568</v>
      </c>
      <c r="AN25" s="263">
        <f>AJ25*VLOOKUP($AD25,'Look-ups'!$A$123:$M$130,10,FALSE)</f>
        <v>0.6074728448546762</v>
      </c>
      <c r="AO25" s="263">
        <f>AK25*VLOOKUP($AD25,'Look-ups'!$A$123:$M$130,9,FALSE)</f>
        <v>1.114133439857937</v>
      </c>
      <c r="AP25" s="263">
        <f>(AL25+AM25)*VLOOKUP($AD25,'Look-ups'!$A$123:$M$130,8,FALSE)</f>
        <v>1.7106905755300605</v>
      </c>
      <c r="AQ25" s="263">
        <f t="shared" si="0"/>
        <v>3.4322968602426736</v>
      </c>
      <c r="AR25" s="265">
        <f>AJ25*VLOOKUP($AD25,'Look-ups'!$A$123:$M$130,11,FALSE)</f>
        <v>0.009670094389234428</v>
      </c>
      <c r="AS25" s="265">
        <f>AK25*VLOOKUP($AD25,'Look-ups'!$A$123:$M$130,12,FALSE)</f>
        <v>1.340014090726656</v>
      </c>
      <c r="AT25" s="265">
        <f>(AL25+AM25)*VLOOKUP($AD25,'Look-ups'!$A$123:$M$130,13,FALSE)</f>
        <v>1.5478170106101574</v>
      </c>
      <c r="AU25" s="265">
        <f t="shared" si="1"/>
        <v>2.897501195726048</v>
      </c>
      <c r="AW25" t="s">
        <v>321</v>
      </c>
    </row>
    <row r="26" spans="1:49" ht="15">
      <c r="A26">
        <v>1022</v>
      </c>
      <c r="B26" t="s">
        <v>321</v>
      </c>
      <c r="C26">
        <v>65.8949</v>
      </c>
      <c r="D26">
        <v>12563</v>
      </c>
      <c r="E26">
        <v>190.65208384867415</v>
      </c>
      <c r="F26" t="s">
        <v>173</v>
      </c>
      <c r="G26" t="s">
        <v>164</v>
      </c>
      <c r="H26">
        <f>VLOOKUP(CONCATENATE($G26,"-",$F26,"-",$H$2),'Look-ups'!$O$3:$S$34,5,FALSE)*VLOOKUP(CONCATENATE($F26,"-",$H$2,"-",H$3),'Look-ups'!$I$3:$M$24,5,FALSE)</f>
        <v>312.66666666666663</v>
      </c>
      <c r="I26">
        <f>VLOOKUP(CONCATENATE($G26,"-",$F26,"-",$H$2),'Look-ups'!$O$3:$S$34,5,FALSE)*VLOOKUP(CONCATENATE($F26,"-",$H$2,"-",I$3),'Look-ups'!$I$3:$M$24,5,FALSE)</f>
        <v>469</v>
      </c>
      <c r="J26">
        <f>VLOOKUP(CONCATENATE($G26,"-",$F26,"-",$H$2),'Look-ups'!$O$3:$S$34,5,FALSE)*VLOOKUP(CONCATENATE($F26,"-",$H$2,"-",J$3),'Look-ups'!$I$3:$M$24,5,FALSE)</f>
        <v>547.1666666666667</v>
      </c>
      <c r="K26">
        <f>VLOOKUP(CONCATENATE($G26,"-",$F26,"-",$H$2),'Look-ups'!$O$3:$S$34,5,FALSE)*VLOOKUP(CONCATENATE($F26,"-",$H$2,"-",K$3),'Look-ups'!$I$3:$M$24,5,FALSE)</f>
        <v>703.5</v>
      </c>
      <c r="L26">
        <f>VLOOKUP(CONCATENATE($G26,"-",$F26,"-",$H$2),'Look-ups'!$O$3:$S$34,5,FALSE)*VLOOKUP(CONCATENATE($F26,"-",$H$2,"-",L$3),'Look-ups'!$I$3:$M$24,5,FALSE)</f>
        <v>781.6666666666667</v>
      </c>
      <c r="M26">
        <f>VLOOKUP(CONCATENATE($G26,"-",$F26,"-",$H$2),'Look-ups'!$O$3:$S$34,5,FALSE)*VLOOKUP(CONCATENATE($F26,"-",$H$2,"-",M$3),'Look-ups'!$I$3:$M$24,5,FALSE)</f>
        <v>859.8333333333333</v>
      </c>
      <c r="N26">
        <f>VLOOKUP(CONCATENATE($G26,"-",$F26,"-",$N$2),'Look-ups'!$O$3:$S$34,5,FALSE)*VLOOKUP(CONCATENATE($F26,"-",$N$2,"-",N$3),'Look-ups'!$I$3:$M$24,5,FALSE)</f>
        <v>312</v>
      </c>
      <c r="O26">
        <f>VLOOKUP(CONCATENATE($G26,"-",$F26,"-",$N$2),'Look-ups'!$O$3:$S$34,5,FALSE)*VLOOKUP(CONCATENATE($F26,"-",$N$2,"-",O$3),'Look-ups'!$I$3:$M$24,5,FALSE)</f>
        <v>312</v>
      </c>
      <c r="P26">
        <f>VLOOKUP(CONCATENATE($G26,"-",$F26,"-",$N$2),'Look-ups'!$O$3:$S$34,5,FALSE)*VLOOKUP(CONCATENATE($F26,"-",$N$2,"-",P$3),'Look-ups'!$I$3:$M$24,5,FALSE)</f>
        <v>416</v>
      </c>
      <c r="Q26">
        <f>VLOOKUP(CONCATENATE($G26,"-",$F26,"-",$N$2),'Look-ups'!$O$3:$S$34,5,FALSE)*VLOOKUP(CONCATENATE($F26,"-",$N$2,"-",Q$3),'Look-ups'!$I$3:$M$24,5,FALSE)</f>
        <v>534.8571428571429</v>
      </c>
      <c r="R26">
        <f>VLOOKUP(CONCATENATE($G26,"-",$F26,"-",$N$2),'Look-ups'!$O$3:$S$34,5,FALSE)*VLOOKUP(CONCATENATE($F26,"-",$N$2,"-",R$3),'Look-ups'!$I$3:$M$24,5,FALSE)</f>
        <v>609.1428571428571</v>
      </c>
      <c r="S26" s="117">
        <f>VLOOKUP(CONCATENATE($G26,"-",$F26,"-Lone Person"),'Look-ups'!$Y$4:$AG$35,5,FALSE)</f>
        <v>106</v>
      </c>
      <c r="T26">
        <f>VLOOKUP(CONCATENATE($G26,"-",$F26,"-Lone Person"),'Look-ups'!$Y$4:$AG$35,6,FALSE)</f>
        <v>151.58</v>
      </c>
      <c r="U26">
        <f>VLOOKUP(CONCATENATE($G26,"-",$F26,"-Lone Person"),'Look-ups'!$Y$4:$AG$35,7,FALSE)</f>
        <v>181.26000000000002</v>
      </c>
      <c r="V26">
        <f>VLOOKUP(CONCATENATE($G26,"-",$F26,"-Lone Person"),'Look-ups'!$Y$4:$AG$35,8,FALSE)</f>
        <v>221.54000000000002</v>
      </c>
      <c r="W26">
        <f>VLOOKUP(CONCATENATE($G26,"-",$F26,"-Lone Person"),'Look-ups'!$Y$4:$AG$35,9,FALSE)</f>
        <v>210.94</v>
      </c>
      <c r="X26" s="117">
        <f>VLOOKUP(CONCATENATE($G26,"-",$F26,"-Couple Only"),'Look-ups'!$Y$4:$AG$35,5,FALSE)</f>
        <v>171.72</v>
      </c>
      <c r="Y26">
        <f>VLOOKUP(CONCATENATE($G26,"-",$F26,"-Couple Only"),'Look-ups'!$Y$4:$AG$35,6,FALSE)</f>
        <v>162.18</v>
      </c>
      <c r="Z26">
        <f>VLOOKUP(CONCATENATE($G26,"-",$F26,"-Couple Only"),'Look-ups'!$Y$4:$AG$35,7,FALSE)</f>
        <v>183.38</v>
      </c>
      <c r="AA26">
        <f>VLOOKUP(CONCATENATE($G26,"-",$F26,"-Couple Only"),'Look-ups'!$Y$4:$AG$35,8,FALSE)</f>
        <v>202.46</v>
      </c>
      <c r="AB26">
        <f>VLOOKUP(CONCATENATE($G26,"-",$F26,"-Couple Only"),'Look-ups'!$Y$4:$AG$35,9,FALSE)</f>
        <v>254.4</v>
      </c>
      <c r="AC26">
        <v>65</v>
      </c>
      <c r="AD26" t="s">
        <v>164</v>
      </c>
      <c r="AE26" s="260">
        <f>VLOOKUP($AD26,'Look-ups'!$A$122:$G$130,5,FALSE)</f>
        <v>0.09143686502177067</v>
      </c>
      <c r="AF26" s="260">
        <f>VLOOKUP($AD26,'Look-ups'!$A$122:$G$130,6,FALSE)</f>
        <v>0.2815674891146589</v>
      </c>
      <c r="AG26" s="260">
        <f>VLOOKUP($AD26,'Look-ups'!$A$122:$G$130,7,FALSE)</f>
        <v>0.6269956458635704</v>
      </c>
      <c r="AH26" s="264">
        <f>VLOOKUP($AC26,'Look-ups'!$A$50:$AO$118,'Look-ups'!$B$133*4,FALSE)*0.277778</f>
        <v>118.60883174298655</v>
      </c>
      <c r="AI26" s="264">
        <f>VLOOKUP($AC26,'Look-ups'!$A$50:$AO$118,'Look-ups'!$B$133*4+1,FALSE)*0.277778</f>
        <v>10.00238225701346</v>
      </c>
      <c r="AJ26" s="264">
        <f>AE26*$AH26/'Look-ups'!$B$141</f>
        <v>14.176757828069766</v>
      </c>
      <c r="AK26" s="264">
        <f>AF26*$AH26/'Look-ups'!$B$140</f>
        <v>45.74848074067914</v>
      </c>
      <c r="AL26" s="264">
        <f>AG26*$AH26/'Look-ups'!$B$137</f>
        <v>14.165184964536646</v>
      </c>
      <c r="AM26" s="264">
        <f>AI26/'Look-ups'!$B$136</f>
        <v>2.1057646856870442</v>
      </c>
      <c r="AN26" s="263">
        <f>AJ26*VLOOKUP($AD26,'Look-ups'!$A$123:$M$130,10,FALSE)</f>
        <v>3.847414555006711</v>
      </c>
      <c r="AO26" s="263">
        <f>AK26*VLOOKUP($AD26,'Look-ups'!$A$123:$M$130,9,FALSE)</f>
        <v>7.056337166403833</v>
      </c>
      <c r="AP26" s="263">
        <f>(AL26+AM26)*VLOOKUP($AD26,'Look-ups'!$A$123:$M$130,8,FALSE)</f>
        <v>4.628851958543653</v>
      </c>
      <c r="AQ26" s="263">
        <f t="shared" si="0"/>
        <v>15.532603679954196</v>
      </c>
      <c r="AR26" s="265">
        <f>AJ26*VLOOKUP($AD26,'Look-ups'!$A$123:$M$130,11,FALSE)</f>
        <v>0.06124530868590459</v>
      </c>
      <c r="AS26" s="265">
        <f>AK26*VLOOKUP($AD26,'Look-ups'!$A$123:$M$130,12,FALSE)</f>
        <v>8.4869467997523</v>
      </c>
      <c r="AT26" s="265">
        <f>(AL26+AM26)*VLOOKUP($AD26,'Look-ups'!$A$123:$M$130,13,FALSE)</f>
        <v>4.188142439967579</v>
      </c>
      <c r="AU26" s="265">
        <f t="shared" si="1"/>
        <v>12.736334548405782</v>
      </c>
      <c r="AW26" t="s">
        <v>322</v>
      </c>
    </row>
    <row r="27" spans="1:49" ht="15">
      <c r="A27">
        <v>1023</v>
      </c>
      <c r="B27" t="s">
        <v>322</v>
      </c>
      <c r="C27">
        <v>262.3964</v>
      </c>
      <c r="D27">
        <v>12272</v>
      </c>
      <c r="E27">
        <v>46.768934329891714</v>
      </c>
      <c r="F27" t="s">
        <v>173</v>
      </c>
      <c r="G27" t="s">
        <v>164</v>
      </c>
      <c r="H27">
        <f>VLOOKUP(CONCATENATE($G27,"-",$F27,"-",$H$2),'Look-ups'!$O$3:$S$34,5,FALSE)*VLOOKUP(CONCATENATE($F27,"-",$H$2,"-",H$3),'Look-ups'!$I$3:$M$24,5,FALSE)</f>
        <v>312.66666666666663</v>
      </c>
      <c r="I27">
        <f>VLOOKUP(CONCATENATE($G27,"-",$F27,"-",$H$2),'Look-ups'!$O$3:$S$34,5,FALSE)*VLOOKUP(CONCATENATE($F27,"-",$H$2,"-",I$3),'Look-ups'!$I$3:$M$24,5,FALSE)</f>
        <v>469</v>
      </c>
      <c r="J27">
        <f>VLOOKUP(CONCATENATE($G27,"-",$F27,"-",$H$2),'Look-ups'!$O$3:$S$34,5,FALSE)*VLOOKUP(CONCATENATE($F27,"-",$H$2,"-",J$3),'Look-ups'!$I$3:$M$24,5,FALSE)</f>
        <v>547.1666666666667</v>
      </c>
      <c r="K27">
        <f>VLOOKUP(CONCATENATE($G27,"-",$F27,"-",$H$2),'Look-ups'!$O$3:$S$34,5,FALSE)*VLOOKUP(CONCATENATE($F27,"-",$H$2,"-",K$3),'Look-ups'!$I$3:$M$24,5,FALSE)</f>
        <v>703.5</v>
      </c>
      <c r="L27">
        <f>VLOOKUP(CONCATENATE($G27,"-",$F27,"-",$H$2),'Look-ups'!$O$3:$S$34,5,FALSE)*VLOOKUP(CONCATENATE($F27,"-",$H$2,"-",L$3),'Look-ups'!$I$3:$M$24,5,FALSE)</f>
        <v>781.6666666666667</v>
      </c>
      <c r="M27">
        <f>VLOOKUP(CONCATENATE($G27,"-",$F27,"-",$H$2),'Look-ups'!$O$3:$S$34,5,FALSE)*VLOOKUP(CONCATENATE($F27,"-",$H$2,"-",M$3),'Look-ups'!$I$3:$M$24,5,FALSE)</f>
        <v>859.8333333333333</v>
      </c>
      <c r="N27">
        <f>VLOOKUP(CONCATENATE($G27,"-",$F27,"-",$N$2),'Look-ups'!$O$3:$S$34,5,FALSE)*VLOOKUP(CONCATENATE($F27,"-",$N$2,"-",N$3),'Look-ups'!$I$3:$M$24,5,FALSE)</f>
        <v>312</v>
      </c>
      <c r="O27">
        <f>VLOOKUP(CONCATENATE($G27,"-",$F27,"-",$N$2),'Look-ups'!$O$3:$S$34,5,FALSE)*VLOOKUP(CONCATENATE($F27,"-",$N$2,"-",O$3),'Look-ups'!$I$3:$M$24,5,FALSE)</f>
        <v>312</v>
      </c>
      <c r="P27">
        <f>VLOOKUP(CONCATENATE($G27,"-",$F27,"-",$N$2),'Look-ups'!$O$3:$S$34,5,FALSE)*VLOOKUP(CONCATENATE($F27,"-",$N$2,"-",P$3),'Look-ups'!$I$3:$M$24,5,FALSE)</f>
        <v>416</v>
      </c>
      <c r="Q27">
        <f>VLOOKUP(CONCATENATE($G27,"-",$F27,"-",$N$2),'Look-ups'!$O$3:$S$34,5,FALSE)*VLOOKUP(CONCATENATE($F27,"-",$N$2,"-",Q$3),'Look-ups'!$I$3:$M$24,5,FALSE)</f>
        <v>534.8571428571429</v>
      </c>
      <c r="R27">
        <f>VLOOKUP(CONCATENATE($G27,"-",$F27,"-",$N$2),'Look-ups'!$O$3:$S$34,5,FALSE)*VLOOKUP(CONCATENATE($F27,"-",$N$2,"-",R$3),'Look-ups'!$I$3:$M$24,5,FALSE)</f>
        <v>609.1428571428571</v>
      </c>
      <c r="S27" s="117">
        <f>VLOOKUP(CONCATENATE($G27,"-",$F27,"-Lone Person"),'Look-ups'!$Y$4:$AG$35,5,FALSE)</f>
        <v>106</v>
      </c>
      <c r="T27">
        <f>VLOOKUP(CONCATENATE($G27,"-",$F27,"-Lone Person"),'Look-ups'!$Y$4:$AG$35,6,FALSE)</f>
        <v>151.58</v>
      </c>
      <c r="U27">
        <f>VLOOKUP(CONCATENATE($G27,"-",$F27,"-Lone Person"),'Look-ups'!$Y$4:$AG$35,7,FALSE)</f>
        <v>181.26000000000002</v>
      </c>
      <c r="V27">
        <f>VLOOKUP(CONCATENATE($G27,"-",$F27,"-Lone Person"),'Look-ups'!$Y$4:$AG$35,8,FALSE)</f>
        <v>221.54000000000002</v>
      </c>
      <c r="W27">
        <f>VLOOKUP(CONCATENATE($G27,"-",$F27,"-Lone Person"),'Look-ups'!$Y$4:$AG$35,9,FALSE)</f>
        <v>210.94</v>
      </c>
      <c r="X27" s="117">
        <f>VLOOKUP(CONCATENATE($G27,"-",$F27,"-Couple Only"),'Look-ups'!$Y$4:$AG$35,5,FALSE)</f>
        <v>171.72</v>
      </c>
      <c r="Y27">
        <f>VLOOKUP(CONCATENATE($G27,"-",$F27,"-Couple Only"),'Look-ups'!$Y$4:$AG$35,6,FALSE)</f>
        <v>162.18</v>
      </c>
      <c r="Z27">
        <f>VLOOKUP(CONCATENATE($G27,"-",$F27,"-Couple Only"),'Look-ups'!$Y$4:$AG$35,7,FALSE)</f>
        <v>183.38</v>
      </c>
      <c r="AA27">
        <f>VLOOKUP(CONCATENATE($G27,"-",$F27,"-Couple Only"),'Look-ups'!$Y$4:$AG$35,8,FALSE)</f>
        <v>202.46</v>
      </c>
      <c r="AB27">
        <f>VLOOKUP(CONCATENATE($G27,"-",$F27,"-Couple Only"),'Look-ups'!$Y$4:$AG$35,9,FALSE)</f>
        <v>254.4</v>
      </c>
      <c r="AC27">
        <v>65</v>
      </c>
      <c r="AD27" t="s">
        <v>164</v>
      </c>
      <c r="AE27" s="260">
        <f>VLOOKUP($AD27,'Look-ups'!$A$122:$G$130,5,FALSE)</f>
        <v>0.09143686502177067</v>
      </c>
      <c r="AF27" s="260">
        <f>VLOOKUP($AD27,'Look-ups'!$A$122:$G$130,6,FALSE)</f>
        <v>0.2815674891146589</v>
      </c>
      <c r="AG27" s="260">
        <f>VLOOKUP($AD27,'Look-ups'!$A$122:$G$130,7,FALSE)</f>
        <v>0.6269956458635704</v>
      </c>
      <c r="AH27" s="264">
        <f>VLOOKUP($AC27,'Look-ups'!$A$50:$AO$118,'Look-ups'!$B$133*4,FALSE)*0.277778</f>
        <v>118.60883174298655</v>
      </c>
      <c r="AI27" s="264">
        <f>VLOOKUP($AC27,'Look-ups'!$A$50:$AO$118,'Look-ups'!$B$133*4+1,FALSE)*0.277778</f>
        <v>10.00238225701346</v>
      </c>
      <c r="AJ27" s="264">
        <f>AE27*$AH27/'Look-ups'!$B$141</f>
        <v>14.176757828069766</v>
      </c>
      <c r="AK27" s="264">
        <f>AF27*$AH27/'Look-ups'!$B$140</f>
        <v>45.74848074067914</v>
      </c>
      <c r="AL27" s="264">
        <f>AG27*$AH27/'Look-ups'!$B$137</f>
        <v>14.165184964536646</v>
      </c>
      <c r="AM27" s="264">
        <f>AI27/'Look-ups'!$B$136</f>
        <v>2.1057646856870442</v>
      </c>
      <c r="AN27" s="263">
        <f>AJ27*VLOOKUP($AD27,'Look-ups'!$A$123:$M$130,10,FALSE)</f>
        <v>3.847414555006711</v>
      </c>
      <c r="AO27" s="263">
        <f>AK27*VLOOKUP($AD27,'Look-ups'!$A$123:$M$130,9,FALSE)</f>
        <v>7.056337166403833</v>
      </c>
      <c r="AP27" s="263">
        <f>(AL27+AM27)*VLOOKUP($AD27,'Look-ups'!$A$123:$M$130,8,FALSE)</f>
        <v>4.628851958543653</v>
      </c>
      <c r="AQ27" s="263">
        <f t="shared" si="0"/>
        <v>15.532603679954196</v>
      </c>
      <c r="AR27" s="265">
        <f>AJ27*VLOOKUP($AD27,'Look-ups'!$A$123:$M$130,11,FALSE)</f>
        <v>0.06124530868590459</v>
      </c>
      <c r="AS27" s="265">
        <f>AK27*VLOOKUP($AD27,'Look-ups'!$A$123:$M$130,12,FALSE)</f>
        <v>8.4869467997523</v>
      </c>
      <c r="AT27" s="265">
        <f>(AL27+AM27)*VLOOKUP($AD27,'Look-ups'!$A$123:$M$130,13,FALSE)</f>
        <v>4.188142439967579</v>
      </c>
      <c r="AU27" s="265">
        <f t="shared" si="1"/>
        <v>12.736334548405782</v>
      </c>
      <c r="AW27" t="s">
        <v>323</v>
      </c>
    </row>
    <row r="28" spans="1:49" ht="15">
      <c r="A28">
        <v>1024</v>
      </c>
      <c r="B28" t="s">
        <v>323</v>
      </c>
      <c r="C28">
        <v>115.5262</v>
      </c>
      <c r="D28">
        <v>28418</v>
      </c>
      <c r="E28">
        <v>245.98749028358935</v>
      </c>
      <c r="F28" t="s">
        <v>173</v>
      </c>
      <c r="G28" t="s">
        <v>164</v>
      </c>
      <c r="H28">
        <f>VLOOKUP(CONCATENATE($G28,"-",$F28,"-",$H$2),'Look-ups'!$O$3:$S$34,5,FALSE)*VLOOKUP(CONCATENATE($F28,"-",$H$2,"-",H$3),'Look-ups'!$I$3:$M$24,5,FALSE)</f>
        <v>312.66666666666663</v>
      </c>
      <c r="I28">
        <f>VLOOKUP(CONCATENATE($G28,"-",$F28,"-",$H$2),'Look-ups'!$O$3:$S$34,5,FALSE)*VLOOKUP(CONCATENATE($F28,"-",$H$2,"-",I$3),'Look-ups'!$I$3:$M$24,5,FALSE)</f>
        <v>469</v>
      </c>
      <c r="J28">
        <f>VLOOKUP(CONCATENATE($G28,"-",$F28,"-",$H$2),'Look-ups'!$O$3:$S$34,5,FALSE)*VLOOKUP(CONCATENATE($F28,"-",$H$2,"-",J$3),'Look-ups'!$I$3:$M$24,5,FALSE)</f>
        <v>547.1666666666667</v>
      </c>
      <c r="K28">
        <f>VLOOKUP(CONCATENATE($G28,"-",$F28,"-",$H$2),'Look-ups'!$O$3:$S$34,5,FALSE)*VLOOKUP(CONCATENATE($F28,"-",$H$2,"-",K$3),'Look-ups'!$I$3:$M$24,5,FALSE)</f>
        <v>703.5</v>
      </c>
      <c r="L28">
        <f>VLOOKUP(CONCATENATE($G28,"-",$F28,"-",$H$2),'Look-ups'!$O$3:$S$34,5,FALSE)*VLOOKUP(CONCATENATE($F28,"-",$H$2,"-",L$3),'Look-ups'!$I$3:$M$24,5,FALSE)</f>
        <v>781.6666666666667</v>
      </c>
      <c r="M28">
        <f>VLOOKUP(CONCATENATE($G28,"-",$F28,"-",$H$2),'Look-ups'!$O$3:$S$34,5,FALSE)*VLOOKUP(CONCATENATE($F28,"-",$H$2,"-",M$3),'Look-ups'!$I$3:$M$24,5,FALSE)</f>
        <v>859.8333333333333</v>
      </c>
      <c r="N28">
        <f>VLOOKUP(CONCATENATE($G28,"-",$F28,"-",$N$2),'Look-ups'!$O$3:$S$34,5,FALSE)*VLOOKUP(CONCATENATE($F28,"-",$N$2,"-",N$3),'Look-ups'!$I$3:$M$24,5,FALSE)</f>
        <v>312</v>
      </c>
      <c r="O28">
        <f>VLOOKUP(CONCATENATE($G28,"-",$F28,"-",$N$2),'Look-ups'!$O$3:$S$34,5,FALSE)*VLOOKUP(CONCATENATE($F28,"-",$N$2,"-",O$3),'Look-ups'!$I$3:$M$24,5,FALSE)</f>
        <v>312</v>
      </c>
      <c r="P28">
        <f>VLOOKUP(CONCATENATE($G28,"-",$F28,"-",$N$2),'Look-ups'!$O$3:$S$34,5,FALSE)*VLOOKUP(CONCATENATE($F28,"-",$N$2,"-",P$3),'Look-ups'!$I$3:$M$24,5,FALSE)</f>
        <v>416</v>
      </c>
      <c r="Q28">
        <f>VLOOKUP(CONCATENATE($G28,"-",$F28,"-",$N$2),'Look-ups'!$O$3:$S$34,5,FALSE)*VLOOKUP(CONCATENATE($F28,"-",$N$2,"-",Q$3),'Look-ups'!$I$3:$M$24,5,FALSE)</f>
        <v>534.8571428571429</v>
      </c>
      <c r="R28">
        <f>VLOOKUP(CONCATENATE($G28,"-",$F28,"-",$N$2),'Look-ups'!$O$3:$S$34,5,FALSE)*VLOOKUP(CONCATENATE($F28,"-",$N$2,"-",R$3),'Look-ups'!$I$3:$M$24,5,FALSE)</f>
        <v>609.1428571428571</v>
      </c>
      <c r="S28" s="117">
        <f>VLOOKUP(CONCATENATE($G28,"-",$F28,"-Lone Person"),'Look-ups'!$Y$4:$AG$35,5,FALSE)</f>
        <v>106</v>
      </c>
      <c r="T28">
        <f>VLOOKUP(CONCATENATE($G28,"-",$F28,"-Lone Person"),'Look-ups'!$Y$4:$AG$35,6,FALSE)</f>
        <v>151.58</v>
      </c>
      <c r="U28">
        <f>VLOOKUP(CONCATENATE($G28,"-",$F28,"-Lone Person"),'Look-ups'!$Y$4:$AG$35,7,FALSE)</f>
        <v>181.26000000000002</v>
      </c>
      <c r="V28">
        <f>VLOOKUP(CONCATENATE($G28,"-",$F28,"-Lone Person"),'Look-ups'!$Y$4:$AG$35,8,FALSE)</f>
        <v>221.54000000000002</v>
      </c>
      <c r="W28">
        <f>VLOOKUP(CONCATENATE($G28,"-",$F28,"-Lone Person"),'Look-ups'!$Y$4:$AG$35,9,FALSE)</f>
        <v>210.94</v>
      </c>
      <c r="X28" s="117">
        <f>VLOOKUP(CONCATENATE($G28,"-",$F28,"-Couple Only"),'Look-ups'!$Y$4:$AG$35,5,FALSE)</f>
        <v>171.72</v>
      </c>
      <c r="Y28">
        <f>VLOOKUP(CONCATENATE($G28,"-",$F28,"-Couple Only"),'Look-ups'!$Y$4:$AG$35,6,FALSE)</f>
        <v>162.18</v>
      </c>
      <c r="Z28">
        <f>VLOOKUP(CONCATENATE($G28,"-",$F28,"-Couple Only"),'Look-ups'!$Y$4:$AG$35,7,FALSE)</f>
        <v>183.38</v>
      </c>
      <c r="AA28">
        <f>VLOOKUP(CONCATENATE($G28,"-",$F28,"-Couple Only"),'Look-ups'!$Y$4:$AG$35,8,FALSE)</f>
        <v>202.46</v>
      </c>
      <c r="AB28">
        <f>VLOOKUP(CONCATENATE($G28,"-",$F28,"-Couple Only"),'Look-ups'!$Y$4:$AG$35,9,FALSE)</f>
        <v>254.4</v>
      </c>
      <c r="AC28">
        <v>15</v>
      </c>
      <c r="AD28" t="s">
        <v>164</v>
      </c>
      <c r="AE28" s="260">
        <f>VLOOKUP($AD28,'Look-ups'!$A$122:$G$130,5,FALSE)</f>
        <v>0.09143686502177067</v>
      </c>
      <c r="AF28" s="260">
        <f>VLOOKUP($AD28,'Look-ups'!$A$122:$G$130,6,FALSE)</f>
        <v>0.2815674891146589</v>
      </c>
      <c r="AG28" s="260">
        <f>VLOOKUP($AD28,'Look-ups'!$A$122:$G$130,7,FALSE)</f>
        <v>0.6269956458635704</v>
      </c>
      <c r="AH28" s="264">
        <f>VLOOKUP($AC28,'Look-ups'!$A$50:$AO$118,'Look-ups'!$B$133*4,FALSE)*0.277778</f>
        <v>18.72728904402556</v>
      </c>
      <c r="AI28" s="264">
        <f>VLOOKUP($AC28,'Look-ups'!$A$50:$AO$118,'Look-ups'!$B$133*4+1,FALSE)*0.277778</f>
        <v>17.939406955974444</v>
      </c>
      <c r="AJ28" s="264">
        <f>AE28*$AH28/'Look-ups'!$B$141</f>
        <v>2.2383850987480396</v>
      </c>
      <c r="AK28" s="264">
        <f>AF28*$AH28/'Look-ups'!$B$140</f>
        <v>7.223281854864025</v>
      </c>
      <c r="AL28" s="264">
        <f>AG28*$AH28/'Look-ups'!$B$137</f>
        <v>2.236557845606204</v>
      </c>
      <c r="AM28" s="264">
        <f>AI28/'Look-ups'!$B$136</f>
        <v>3.7767172538893568</v>
      </c>
      <c r="AN28" s="263">
        <f>AJ28*VLOOKUP($AD28,'Look-ups'!$A$123:$M$130,10,FALSE)</f>
        <v>0.6074728448546762</v>
      </c>
      <c r="AO28" s="263">
        <f>AK28*VLOOKUP($AD28,'Look-ups'!$A$123:$M$130,9,FALSE)</f>
        <v>1.114133439857937</v>
      </c>
      <c r="AP28" s="263">
        <f>(AL28+AM28)*VLOOKUP($AD28,'Look-ups'!$A$123:$M$130,8,FALSE)</f>
        <v>1.7106905755300605</v>
      </c>
      <c r="AQ28" s="263">
        <f t="shared" si="0"/>
        <v>3.4322968602426736</v>
      </c>
      <c r="AR28" s="265">
        <f>AJ28*VLOOKUP($AD28,'Look-ups'!$A$123:$M$130,11,FALSE)</f>
        <v>0.009670094389234428</v>
      </c>
      <c r="AS28" s="265">
        <f>AK28*VLOOKUP($AD28,'Look-ups'!$A$123:$M$130,12,FALSE)</f>
        <v>1.340014090726656</v>
      </c>
      <c r="AT28" s="265">
        <f>(AL28+AM28)*VLOOKUP($AD28,'Look-ups'!$A$123:$M$130,13,FALSE)</f>
        <v>1.5478170106101574</v>
      </c>
      <c r="AU28" s="265">
        <f t="shared" si="1"/>
        <v>2.897501195726048</v>
      </c>
      <c r="AW28" t="s">
        <v>324</v>
      </c>
    </row>
    <row r="29" spans="1:49" ht="15">
      <c r="A29">
        <v>1025</v>
      </c>
      <c r="B29" t="s">
        <v>324</v>
      </c>
      <c r="C29">
        <v>1179.1011</v>
      </c>
      <c r="D29">
        <v>508437</v>
      </c>
      <c r="E29">
        <v>431.20729850900824</v>
      </c>
      <c r="F29" t="s">
        <v>173</v>
      </c>
      <c r="G29" t="s">
        <v>164</v>
      </c>
      <c r="H29">
        <f>VLOOKUP(CONCATENATE($G29,"-",$F29,"-",$H$2),'Look-ups'!$O$3:$S$34,5,FALSE)*VLOOKUP(CONCATENATE($F29,"-",$H$2,"-",H$3),'Look-ups'!$I$3:$M$24,5,FALSE)</f>
        <v>312.66666666666663</v>
      </c>
      <c r="I29">
        <f>VLOOKUP(CONCATENATE($G29,"-",$F29,"-",$H$2),'Look-ups'!$O$3:$S$34,5,FALSE)*VLOOKUP(CONCATENATE($F29,"-",$H$2,"-",I$3),'Look-ups'!$I$3:$M$24,5,FALSE)</f>
        <v>469</v>
      </c>
      <c r="J29">
        <f>VLOOKUP(CONCATENATE($G29,"-",$F29,"-",$H$2),'Look-ups'!$O$3:$S$34,5,FALSE)*VLOOKUP(CONCATENATE($F29,"-",$H$2,"-",J$3),'Look-ups'!$I$3:$M$24,5,FALSE)</f>
        <v>547.1666666666667</v>
      </c>
      <c r="K29">
        <f>VLOOKUP(CONCATENATE($G29,"-",$F29,"-",$H$2),'Look-ups'!$O$3:$S$34,5,FALSE)*VLOOKUP(CONCATENATE($F29,"-",$H$2,"-",K$3),'Look-ups'!$I$3:$M$24,5,FALSE)</f>
        <v>703.5</v>
      </c>
      <c r="L29">
        <f>VLOOKUP(CONCATENATE($G29,"-",$F29,"-",$H$2),'Look-ups'!$O$3:$S$34,5,FALSE)*VLOOKUP(CONCATENATE($F29,"-",$H$2,"-",L$3),'Look-ups'!$I$3:$M$24,5,FALSE)</f>
        <v>781.6666666666667</v>
      </c>
      <c r="M29">
        <f>VLOOKUP(CONCATENATE($G29,"-",$F29,"-",$H$2),'Look-ups'!$O$3:$S$34,5,FALSE)*VLOOKUP(CONCATENATE($F29,"-",$H$2,"-",M$3),'Look-ups'!$I$3:$M$24,5,FALSE)</f>
        <v>859.8333333333333</v>
      </c>
      <c r="N29">
        <f>VLOOKUP(CONCATENATE($G29,"-",$F29,"-",$N$2),'Look-ups'!$O$3:$S$34,5,FALSE)*VLOOKUP(CONCATENATE($F29,"-",$N$2,"-",N$3),'Look-ups'!$I$3:$M$24,5,FALSE)</f>
        <v>312</v>
      </c>
      <c r="O29">
        <f>VLOOKUP(CONCATENATE($G29,"-",$F29,"-",$N$2),'Look-ups'!$O$3:$S$34,5,FALSE)*VLOOKUP(CONCATENATE($F29,"-",$N$2,"-",O$3),'Look-ups'!$I$3:$M$24,5,FALSE)</f>
        <v>312</v>
      </c>
      <c r="P29">
        <f>VLOOKUP(CONCATENATE($G29,"-",$F29,"-",$N$2),'Look-ups'!$O$3:$S$34,5,FALSE)*VLOOKUP(CONCATENATE($F29,"-",$N$2,"-",P$3),'Look-ups'!$I$3:$M$24,5,FALSE)</f>
        <v>416</v>
      </c>
      <c r="Q29">
        <f>VLOOKUP(CONCATENATE($G29,"-",$F29,"-",$N$2),'Look-ups'!$O$3:$S$34,5,FALSE)*VLOOKUP(CONCATENATE($F29,"-",$N$2,"-",Q$3),'Look-ups'!$I$3:$M$24,5,FALSE)</f>
        <v>534.8571428571429</v>
      </c>
      <c r="R29">
        <f>VLOOKUP(CONCATENATE($G29,"-",$F29,"-",$N$2),'Look-ups'!$O$3:$S$34,5,FALSE)*VLOOKUP(CONCATENATE($F29,"-",$N$2,"-",R$3),'Look-ups'!$I$3:$M$24,5,FALSE)</f>
        <v>609.1428571428571</v>
      </c>
      <c r="S29" s="117">
        <f>VLOOKUP(CONCATENATE($G29,"-",$F29,"-Lone Person"),'Look-ups'!$Y$4:$AG$35,5,FALSE)</f>
        <v>106</v>
      </c>
      <c r="T29">
        <f>VLOOKUP(CONCATENATE($G29,"-",$F29,"-Lone Person"),'Look-ups'!$Y$4:$AG$35,6,FALSE)</f>
        <v>151.58</v>
      </c>
      <c r="U29">
        <f>VLOOKUP(CONCATENATE($G29,"-",$F29,"-Lone Person"),'Look-ups'!$Y$4:$AG$35,7,FALSE)</f>
        <v>181.26000000000002</v>
      </c>
      <c r="V29">
        <f>VLOOKUP(CONCATENATE($G29,"-",$F29,"-Lone Person"),'Look-ups'!$Y$4:$AG$35,8,FALSE)</f>
        <v>221.54000000000002</v>
      </c>
      <c r="W29">
        <f>VLOOKUP(CONCATENATE($G29,"-",$F29,"-Lone Person"),'Look-ups'!$Y$4:$AG$35,9,FALSE)</f>
        <v>210.94</v>
      </c>
      <c r="X29" s="117">
        <f>VLOOKUP(CONCATENATE($G29,"-",$F29,"-Couple Only"),'Look-ups'!$Y$4:$AG$35,5,FALSE)</f>
        <v>171.72</v>
      </c>
      <c r="Y29">
        <f>VLOOKUP(CONCATENATE($G29,"-",$F29,"-Couple Only"),'Look-ups'!$Y$4:$AG$35,6,FALSE)</f>
        <v>162.18</v>
      </c>
      <c r="Z29">
        <f>VLOOKUP(CONCATENATE($G29,"-",$F29,"-Couple Only"),'Look-ups'!$Y$4:$AG$35,7,FALSE)</f>
        <v>183.38</v>
      </c>
      <c r="AA29">
        <f>VLOOKUP(CONCATENATE($G29,"-",$F29,"-Couple Only"),'Look-ups'!$Y$4:$AG$35,8,FALSE)</f>
        <v>202.46</v>
      </c>
      <c r="AB29">
        <f>VLOOKUP(CONCATENATE($G29,"-",$F29,"-Couple Only"),'Look-ups'!$Y$4:$AG$35,9,FALSE)</f>
        <v>254.4</v>
      </c>
      <c r="AC29">
        <v>15</v>
      </c>
      <c r="AD29" t="s">
        <v>164</v>
      </c>
      <c r="AE29" s="260">
        <f>VLOOKUP($AD29,'Look-ups'!$A$122:$G$130,5,FALSE)</f>
        <v>0.09143686502177067</v>
      </c>
      <c r="AF29" s="260">
        <f>VLOOKUP($AD29,'Look-ups'!$A$122:$G$130,6,FALSE)</f>
        <v>0.2815674891146589</v>
      </c>
      <c r="AG29" s="260">
        <f>VLOOKUP($AD29,'Look-ups'!$A$122:$G$130,7,FALSE)</f>
        <v>0.6269956458635704</v>
      </c>
      <c r="AH29" s="264">
        <f>VLOOKUP($AC29,'Look-ups'!$A$50:$AO$118,'Look-ups'!$B$133*4,FALSE)*0.277778</f>
        <v>18.72728904402556</v>
      </c>
      <c r="AI29" s="264">
        <f>VLOOKUP($AC29,'Look-ups'!$A$50:$AO$118,'Look-ups'!$B$133*4+1,FALSE)*0.277778</f>
        <v>17.939406955974444</v>
      </c>
      <c r="AJ29" s="264">
        <f>AE29*$AH29/'Look-ups'!$B$141</f>
        <v>2.2383850987480396</v>
      </c>
      <c r="AK29" s="264">
        <f>AF29*$AH29/'Look-ups'!$B$140</f>
        <v>7.223281854864025</v>
      </c>
      <c r="AL29" s="264">
        <f>AG29*$AH29/'Look-ups'!$B$137</f>
        <v>2.236557845606204</v>
      </c>
      <c r="AM29" s="264">
        <f>AI29/'Look-ups'!$B$136</f>
        <v>3.7767172538893568</v>
      </c>
      <c r="AN29" s="263">
        <f>AJ29*VLOOKUP($AD29,'Look-ups'!$A$123:$M$130,10,FALSE)</f>
        <v>0.6074728448546762</v>
      </c>
      <c r="AO29" s="263">
        <f>AK29*VLOOKUP($AD29,'Look-ups'!$A$123:$M$130,9,FALSE)</f>
        <v>1.114133439857937</v>
      </c>
      <c r="AP29" s="263">
        <f>(AL29+AM29)*VLOOKUP($AD29,'Look-ups'!$A$123:$M$130,8,FALSE)</f>
        <v>1.7106905755300605</v>
      </c>
      <c r="AQ29" s="263">
        <f t="shared" si="0"/>
        <v>3.4322968602426736</v>
      </c>
      <c r="AR29" s="265">
        <f>AJ29*VLOOKUP($AD29,'Look-ups'!$A$123:$M$130,11,FALSE)</f>
        <v>0.009670094389234428</v>
      </c>
      <c r="AS29" s="265">
        <f>AK29*VLOOKUP($AD29,'Look-ups'!$A$123:$M$130,12,FALSE)</f>
        <v>1.340014090726656</v>
      </c>
      <c r="AT29" s="265">
        <f>(AL29+AM29)*VLOOKUP($AD29,'Look-ups'!$A$123:$M$130,13,FALSE)</f>
        <v>1.5478170106101574</v>
      </c>
      <c r="AU29" s="265">
        <f t="shared" si="1"/>
        <v>2.897501195726048</v>
      </c>
      <c r="AW29" t="s">
        <v>325</v>
      </c>
    </row>
    <row r="30" spans="1:49" ht="15">
      <c r="A30">
        <v>1026</v>
      </c>
      <c r="B30" t="s">
        <v>325</v>
      </c>
      <c r="C30">
        <v>201.411699999999</v>
      </c>
      <c r="D30">
        <v>38678</v>
      </c>
      <c r="E30">
        <v>192.0345243101577</v>
      </c>
      <c r="F30" t="s">
        <v>173</v>
      </c>
      <c r="G30" t="s">
        <v>164</v>
      </c>
      <c r="H30">
        <f>VLOOKUP(CONCATENATE($G30,"-",$F30,"-",$H$2),'Look-ups'!$O$3:$S$34,5,FALSE)*VLOOKUP(CONCATENATE($F30,"-",$H$2,"-",H$3),'Look-ups'!$I$3:$M$24,5,FALSE)</f>
        <v>312.66666666666663</v>
      </c>
      <c r="I30">
        <f>VLOOKUP(CONCATENATE($G30,"-",$F30,"-",$H$2),'Look-ups'!$O$3:$S$34,5,FALSE)*VLOOKUP(CONCATENATE($F30,"-",$H$2,"-",I$3),'Look-ups'!$I$3:$M$24,5,FALSE)</f>
        <v>469</v>
      </c>
      <c r="J30">
        <f>VLOOKUP(CONCATENATE($G30,"-",$F30,"-",$H$2),'Look-ups'!$O$3:$S$34,5,FALSE)*VLOOKUP(CONCATENATE($F30,"-",$H$2,"-",J$3),'Look-ups'!$I$3:$M$24,5,FALSE)</f>
        <v>547.1666666666667</v>
      </c>
      <c r="K30">
        <f>VLOOKUP(CONCATENATE($G30,"-",$F30,"-",$H$2),'Look-ups'!$O$3:$S$34,5,FALSE)*VLOOKUP(CONCATENATE($F30,"-",$H$2,"-",K$3),'Look-ups'!$I$3:$M$24,5,FALSE)</f>
        <v>703.5</v>
      </c>
      <c r="L30">
        <f>VLOOKUP(CONCATENATE($G30,"-",$F30,"-",$H$2),'Look-ups'!$O$3:$S$34,5,FALSE)*VLOOKUP(CONCATENATE($F30,"-",$H$2,"-",L$3),'Look-ups'!$I$3:$M$24,5,FALSE)</f>
        <v>781.6666666666667</v>
      </c>
      <c r="M30">
        <f>VLOOKUP(CONCATENATE($G30,"-",$F30,"-",$H$2),'Look-ups'!$O$3:$S$34,5,FALSE)*VLOOKUP(CONCATENATE($F30,"-",$H$2,"-",M$3),'Look-ups'!$I$3:$M$24,5,FALSE)</f>
        <v>859.8333333333333</v>
      </c>
      <c r="N30">
        <f>VLOOKUP(CONCATENATE($G30,"-",$F30,"-",$N$2),'Look-ups'!$O$3:$S$34,5,FALSE)*VLOOKUP(CONCATENATE($F30,"-",$N$2,"-",N$3),'Look-ups'!$I$3:$M$24,5,FALSE)</f>
        <v>312</v>
      </c>
      <c r="O30">
        <f>VLOOKUP(CONCATENATE($G30,"-",$F30,"-",$N$2),'Look-ups'!$O$3:$S$34,5,FALSE)*VLOOKUP(CONCATENATE($F30,"-",$N$2,"-",O$3),'Look-ups'!$I$3:$M$24,5,FALSE)</f>
        <v>312</v>
      </c>
      <c r="P30">
        <f>VLOOKUP(CONCATENATE($G30,"-",$F30,"-",$N$2),'Look-ups'!$O$3:$S$34,5,FALSE)*VLOOKUP(CONCATENATE($F30,"-",$N$2,"-",P$3),'Look-ups'!$I$3:$M$24,5,FALSE)</f>
        <v>416</v>
      </c>
      <c r="Q30">
        <f>VLOOKUP(CONCATENATE($G30,"-",$F30,"-",$N$2),'Look-ups'!$O$3:$S$34,5,FALSE)*VLOOKUP(CONCATENATE($F30,"-",$N$2,"-",Q$3),'Look-ups'!$I$3:$M$24,5,FALSE)</f>
        <v>534.8571428571429</v>
      </c>
      <c r="R30">
        <f>VLOOKUP(CONCATENATE($G30,"-",$F30,"-",$N$2),'Look-ups'!$O$3:$S$34,5,FALSE)*VLOOKUP(CONCATENATE($F30,"-",$N$2,"-",R$3),'Look-ups'!$I$3:$M$24,5,FALSE)</f>
        <v>609.1428571428571</v>
      </c>
      <c r="S30" s="117">
        <f>VLOOKUP(CONCATENATE($G30,"-",$F30,"-Lone Person"),'Look-ups'!$Y$4:$AG$35,5,FALSE)</f>
        <v>106</v>
      </c>
      <c r="T30">
        <f>VLOOKUP(CONCATENATE($G30,"-",$F30,"-Lone Person"),'Look-ups'!$Y$4:$AG$35,6,FALSE)</f>
        <v>151.58</v>
      </c>
      <c r="U30">
        <f>VLOOKUP(CONCATENATE($G30,"-",$F30,"-Lone Person"),'Look-ups'!$Y$4:$AG$35,7,FALSE)</f>
        <v>181.26000000000002</v>
      </c>
      <c r="V30">
        <f>VLOOKUP(CONCATENATE($G30,"-",$F30,"-Lone Person"),'Look-ups'!$Y$4:$AG$35,8,FALSE)</f>
        <v>221.54000000000002</v>
      </c>
      <c r="W30">
        <f>VLOOKUP(CONCATENATE($G30,"-",$F30,"-Lone Person"),'Look-ups'!$Y$4:$AG$35,9,FALSE)</f>
        <v>210.94</v>
      </c>
      <c r="X30" s="117">
        <f>VLOOKUP(CONCATENATE($G30,"-",$F30,"-Couple Only"),'Look-ups'!$Y$4:$AG$35,5,FALSE)</f>
        <v>171.72</v>
      </c>
      <c r="Y30">
        <f>VLOOKUP(CONCATENATE($G30,"-",$F30,"-Couple Only"),'Look-ups'!$Y$4:$AG$35,6,FALSE)</f>
        <v>162.18</v>
      </c>
      <c r="Z30">
        <f>VLOOKUP(CONCATENATE($G30,"-",$F30,"-Couple Only"),'Look-ups'!$Y$4:$AG$35,7,FALSE)</f>
        <v>183.38</v>
      </c>
      <c r="AA30">
        <f>VLOOKUP(CONCATENATE($G30,"-",$F30,"-Couple Only"),'Look-ups'!$Y$4:$AG$35,8,FALSE)</f>
        <v>202.46</v>
      </c>
      <c r="AB30">
        <f>VLOOKUP(CONCATENATE($G30,"-",$F30,"-Couple Only"),'Look-ups'!$Y$4:$AG$35,9,FALSE)</f>
        <v>254.4</v>
      </c>
      <c r="AC30">
        <v>18</v>
      </c>
      <c r="AD30" t="s">
        <v>164</v>
      </c>
      <c r="AE30" s="260">
        <f>VLOOKUP($AD30,'Look-ups'!$A$122:$G$130,5,FALSE)</f>
        <v>0.09143686502177067</v>
      </c>
      <c r="AF30" s="260">
        <f>VLOOKUP($AD30,'Look-ups'!$A$122:$G$130,6,FALSE)</f>
        <v>0.2815674891146589</v>
      </c>
      <c r="AG30" s="260">
        <f>VLOOKUP($AD30,'Look-ups'!$A$122:$G$130,7,FALSE)</f>
        <v>0.6269956458635704</v>
      </c>
      <c r="AH30" s="264">
        <f>VLOOKUP($AC30,'Look-ups'!$A$50:$AO$118,'Look-ups'!$B$133*4,FALSE)*0.277778</f>
        <v>33.38164755508251</v>
      </c>
      <c r="AI30" s="264">
        <f>VLOOKUP($AC30,'Look-ups'!$A$50:$AO$118,'Look-ups'!$B$133*4+1,FALSE)*0.277778</f>
        <v>20.785062444917497</v>
      </c>
      <c r="AJ30" s="264">
        <f>AE30*$AH30/'Look-ups'!$B$141</f>
        <v>3.9899518976449686</v>
      </c>
      <c r="AK30" s="264">
        <f>AF30*$AH30/'Look-ups'!$B$140</f>
        <v>12.875598198075444</v>
      </c>
      <c r="AL30" s="264">
        <f>AG30*$AH30/'Look-ups'!$B$137</f>
        <v>3.9866947940550537</v>
      </c>
      <c r="AM30" s="264">
        <f>AI30/'Look-ups'!$B$136</f>
        <v>4.375802619982631</v>
      </c>
      <c r="AN30" s="263">
        <f>AJ30*VLOOKUP($AD30,'Look-ups'!$A$123:$M$130,10,FALSE)</f>
        <v>1.0828286122219817</v>
      </c>
      <c r="AO30" s="263">
        <f>AK30*VLOOKUP($AD30,'Look-ups'!$A$123:$M$130,9,FALSE)</f>
        <v>1.9859580172675528</v>
      </c>
      <c r="AP30" s="263">
        <f>(AL30+AM30)*VLOOKUP($AD30,'Look-ups'!$A$123:$M$130,8,FALSE)</f>
        <v>2.3790106518307863</v>
      </c>
      <c r="AQ30" s="263">
        <f t="shared" si="0"/>
        <v>5.447797281320321</v>
      </c>
      <c r="AR30" s="265">
        <f>AJ30*VLOOKUP($AD30,'Look-ups'!$A$123:$M$130,11,FALSE)</f>
        <v>0.01723707483592167</v>
      </c>
      <c r="AS30" s="265">
        <f>AK30*VLOOKUP($AD30,'Look-ups'!$A$123:$M$130,12,FALSE)</f>
        <v>2.388593351142412</v>
      </c>
      <c r="AT30" s="265">
        <f>(AL30+AM30)*VLOOKUP($AD30,'Look-ups'!$A$123:$M$130,13,FALSE)</f>
        <v>2.1525068343733</v>
      </c>
      <c r="AU30" s="265">
        <f t="shared" si="1"/>
        <v>4.5583372603516334</v>
      </c>
      <c r="AW30" t="s">
        <v>326</v>
      </c>
    </row>
    <row r="31" spans="1:49" ht="15">
      <c r="A31">
        <v>1027</v>
      </c>
      <c r="B31" t="s">
        <v>326</v>
      </c>
      <c r="C31">
        <v>144.761799999999</v>
      </c>
      <c r="D31">
        <v>41920</v>
      </c>
      <c r="E31">
        <v>289.57915693228665</v>
      </c>
      <c r="F31" t="s">
        <v>173</v>
      </c>
      <c r="G31" t="s">
        <v>164</v>
      </c>
      <c r="H31">
        <f>VLOOKUP(CONCATENATE($G31,"-",$F31,"-",$H$2),'Look-ups'!$O$3:$S$34,5,FALSE)*VLOOKUP(CONCATENATE($F31,"-",$H$2,"-",H$3),'Look-ups'!$I$3:$M$24,5,FALSE)</f>
        <v>312.66666666666663</v>
      </c>
      <c r="I31">
        <f>VLOOKUP(CONCATENATE($G31,"-",$F31,"-",$H$2),'Look-ups'!$O$3:$S$34,5,FALSE)*VLOOKUP(CONCATENATE($F31,"-",$H$2,"-",I$3),'Look-ups'!$I$3:$M$24,5,FALSE)</f>
        <v>469</v>
      </c>
      <c r="J31">
        <f>VLOOKUP(CONCATENATE($G31,"-",$F31,"-",$H$2),'Look-ups'!$O$3:$S$34,5,FALSE)*VLOOKUP(CONCATENATE($F31,"-",$H$2,"-",J$3),'Look-ups'!$I$3:$M$24,5,FALSE)</f>
        <v>547.1666666666667</v>
      </c>
      <c r="K31">
        <f>VLOOKUP(CONCATENATE($G31,"-",$F31,"-",$H$2),'Look-ups'!$O$3:$S$34,5,FALSE)*VLOOKUP(CONCATENATE($F31,"-",$H$2,"-",K$3),'Look-ups'!$I$3:$M$24,5,FALSE)</f>
        <v>703.5</v>
      </c>
      <c r="L31">
        <f>VLOOKUP(CONCATENATE($G31,"-",$F31,"-",$H$2),'Look-ups'!$O$3:$S$34,5,FALSE)*VLOOKUP(CONCATENATE($F31,"-",$H$2,"-",L$3),'Look-ups'!$I$3:$M$24,5,FALSE)</f>
        <v>781.6666666666667</v>
      </c>
      <c r="M31">
        <f>VLOOKUP(CONCATENATE($G31,"-",$F31,"-",$H$2),'Look-ups'!$O$3:$S$34,5,FALSE)*VLOOKUP(CONCATENATE($F31,"-",$H$2,"-",M$3),'Look-ups'!$I$3:$M$24,5,FALSE)</f>
        <v>859.8333333333333</v>
      </c>
      <c r="N31">
        <f>VLOOKUP(CONCATENATE($G31,"-",$F31,"-",$N$2),'Look-ups'!$O$3:$S$34,5,FALSE)*VLOOKUP(CONCATENATE($F31,"-",$N$2,"-",N$3),'Look-ups'!$I$3:$M$24,5,FALSE)</f>
        <v>312</v>
      </c>
      <c r="O31">
        <f>VLOOKUP(CONCATENATE($G31,"-",$F31,"-",$N$2),'Look-ups'!$O$3:$S$34,5,FALSE)*VLOOKUP(CONCATENATE($F31,"-",$N$2,"-",O$3),'Look-ups'!$I$3:$M$24,5,FALSE)</f>
        <v>312</v>
      </c>
      <c r="P31">
        <f>VLOOKUP(CONCATENATE($G31,"-",$F31,"-",$N$2),'Look-ups'!$O$3:$S$34,5,FALSE)*VLOOKUP(CONCATENATE($F31,"-",$N$2,"-",P$3),'Look-ups'!$I$3:$M$24,5,FALSE)</f>
        <v>416</v>
      </c>
      <c r="Q31">
        <f>VLOOKUP(CONCATENATE($G31,"-",$F31,"-",$N$2),'Look-ups'!$O$3:$S$34,5,FALSE)*VLOOKUP(CONCATENATE($F31,"-",$N$2,"-",Q$3),'Look-ups'!$I$3:$M$24,5,FALSE)</f>
        <v>534.8571428571429</v>
      </c>
      <c r="R31">
        <f>VLOOKUP(CONCATENATE($G31,"-",$F31,"-",$N$2),'Look-ups'!$O$3:$S$34,5,FALSE)*VLOOKUP(CONCATENATE($F31,"-",$N$2,"-",R$3),'Look-ups'!$I$3:$M$24,5,FALSE)</f>
        <v>609.1428571428571</v>
      </c>
      <c r="S31" s="117">
        <f>VLOOKUP(CONCATENATE($G31,"-",$F31,"-Lone Person"),'Look-ups'!$Y$4:$AG$35,5,FALSE)</f>
        <v>106</v>
      </c>
      <c r="T31">
        <f>VLOOKUP(CONCATENATE($G31,"-",$F31,"-Lone Person"),'Look-ups'!$Y$4:$AG$35,6,FALSE)</f>
        <v>151.58</v>
      </c>
      <c r="U31">
        <f>VLOOKUP(CONCATENATE($G31,"-",$F31,"-Lone Person"),'Look-ups'!$Y$4:$AG$35,7,FALSE)</f>
        <v>181.26000000000002</v>
      </c>
      <c r="V31">
        <f>VLOOKUP(CONCATENATE($G31,"-",$F31,"-Lone Person"),'Look-ups'!$Y$4:$AG$35,8,FALSE)</f>
        <v>221.54000000000002</v>
      </c>
      <c r="W31">
        <f>VLOOKUP(CONCATENATE($G31,"-",$F31,"-Lone Person"),'Look-ups'!$Y$4:$AG$35,9,FALSE)</f>
        <v>210.94</v>
      </c>
      <c r="X31" s="117">
        <f>VLOOKUP(CONCATENATE($G31,"-",$F31,"-Couple Only"),'Look-ups'!$Y$4:$AG$35,5,FALSE)</f>
        <v>171.72</v>
      </c>
      <c r="Y31">
        <f>VLOOKUP(CONCATENATE($G31,"-",$F31,"-Couple Only"),'Look-ups'!$Y$4:$AG$35,6,FALSE)</f>
        <v>162.18</v>
      </c>
      <c r="Z31">
        <f>VLOOKUP(CONCATENATE($G31,"-",$F31,"-Couple Only"),'Look-ups'!$Y$4:$AG$35,7,FALSE)</f>
        <v>183.38</v>
      </c>
      <c r="AA31">
        <f>VLOOKUP(CONCATENATE($G31,"-",$F31,"-Couple Only"),'Look-ups'!$Y$4:$AG$35,8,FALSE)</f>
        <v>202.46</v>
      </c>
      <c r="AB31">
        <f>VLOOKUP(CONCATENATE($G31,"-",$F31,"-Couple Only"),'Look-ups'!$Y$4:$AG$35,9,FALSE)</f>
        <v>254.4</v>
      </c>
      <c r="AC31">
        <v>65</v>
      </c>
      <c r="AD31" t="s">
        <v>164</v>
      </c>
      <c r="AE31" s="260">
        <f>VLOOKUP($AD31,'Look-ups'!$A$122:$G$130,5,FALSE)</f>
        <v>0.09143686502177067</v>
      </c>
      <c r="AF31" s="260">
        <f>VLOOKUP($AD31,'Look-ups'!$A$122:$G$130,6,FALSE)</f>
        <v>0.2815674891146589</v>
      </c>
      <c r="AG31" s="260">
        <f>VLOOKUP($AD31,'Look-ups'!$A$122:$G$130,7,FALSE)</f>
        <v>0.6269956458635704</v>
      </c>
      <c r="AH31" s="264">
        <f>VLOOKUP($AC31,'Look-ups'!$A$50:$AO$118,'Look-ups'!$B$133*4,FALSE)*0.277778</f>
        <v>118.60883174298655</v>
      </c>
      <c r="AI31" s="264">
        <f>VLOOKUP($AC31,'Look-ups'!$A$50:$AO$118,'Look-ups'!$B$133*4+1,FALSE)*0.277778</f>
        <v>10.00238225701346</v>
      </c>
      <c r="AJ31" s="264">
        <f>AE31*$AH31/'Look-ups'!$B$141</f>
        <v>14.176757828069766</v>
      </c>
      <c r="AK31" s="264">
        <f>AF31*$AH31/'Look-ups'!$B$140</f>
        <v>45.74848074067914</v>
      </c>
      <c r="AL31" s="264">
        <f>AG31*$AH31/'Look-ups'!$B$137</f>
        <v>14.165184964536646</v>
      </c>
      <c r="AM31" s="264">
        <f>AI31/'Look-ups'!$B$136</f>
        <v>2.1057646856870442</v>
      </c>
      <c r="AN31" s="263">
        <f>AJ31*VLOOKUP($AD31,'Look-ups'!$A$123:$M$130,10,FALSE)</f>
        <v>3.847414555006711</v>
      </c>
      <c r="AO31" s="263">
        <f>AK31*VLOOKUP($AD31,'Look-ups'!$A$123:$M$130,9,FALSE)</f>
        <v>7.056337166403833</v>
      </c>
      <c r="AP31" s="263">
        <f>(AL31+AM31)*VLOOKUP($AD31,'Look-ups'!$A$123:$M$130,8,FALSE)</f>
        <v>4.628851958543653</v>
      </c>
      <c r="AQ31" s="263">
        <f t="shared" si="0"/>
        <v>15.532603679954196</v>
      </c>
      <c r="AR31" s="265">
        <f>AJ31*VLOOKUP($AD31,'Look-ups'!$A$123:$M$130,11,FALSE)</f>
        <v>0.06124530868590459</v>
      </c>
      <c r="AS31" s="265">
        <f>AK31*VLOOKUP($AD31,'Look-ups'!$A$123:$M$130,12,FALSE)</f>
        <v>8.4869467997523</v>
      </c>
      <c r="AT31" s="265">
        <f>(AL31+AM31)*VLOOKUP($AD31,'Look-ups'!$A$123:$M$130,13,FALSE)</f>
        <v>4.188142439967579</v>
      </c>
      <c r="AU31" s="265">
        <f t="shared" si="1"/>
        <v>12.736334548405782</v>
      </c>
      <c r="AW31" t="s">
        <v>327</v>
      </c>
    </row>
    <row r="32" spans="1:49" ht="15">
      <c r="A32">
        <v>1028</v>
      </c>
      <c r="B32" t="s">
        <v>327</v>
      </c>
      <c r="C32">
        <v>96.2548</v>
      </c>
      <c r="D32">
        <v>50193</v>
      </c>
      <c r="E32">
        <v>521.4597090223033</v>
      </c>
      <c r="F32" t="s">
        <v>173</v>
      </c>
      <c r="G32" t="s">
        <v>164</v>
      </c>
      <c r="H32">
        <f>VLOOKUP(CONCATENATE($G32,"-",$F32,"-",$H$2),'Look-ups'!$O$3:$S$34,5,FALSE)*VLOOKUP(CONCATENATE($F32,"-",$H$2,"-",H$3),'Look-ups'!$I$3:$M$24,5,FALSE)</f>
        <v>312.66666666666663</v>
      </c>
      <c r="I32">
        <f>VLOOKUP(CONCATENATE($G32,"-",$F32,"-",$H$2),'Look-ups'!$O$3:$S$34,5,FALSE)*VLOOKUP(CONCATENATE($F32,"-",$H$2,"-",I$3),'Look-ups'!$I$3:$M$24,5,FALSE)</f>
        <v>469</v>
      </c>
      <c r="J32">
        <f>VLOOKUP(CONCATENATE($G32,"-",$F32,"-",$H$2),'Look-ups'!$O$3:$S$34,5,FALSE)*VLOOKUP(CONCATENATE($F32,"-",$H$2,"-",J$3),'Look-ups'!$I$3:$M$24,5,FALSE)</f>
        <v>547.1666666666667</v>
      </c>
      <c r="K32">
        <f>VLOOKUP(CONCATENATE($G32,"-",$F32,"-",$H$2),'Look-ups'!$O$3:$S$34,5,FALSE)*VLOOKUP(CONCATENATE($F32,"-",$H$2,"-",K$3),'Look-ups'!$I$3:$M$24,5,FALSE)</f>
        <v>703.5</v>
      </c>
      <c r="L32">
        <f>VLOOKUP(CONCATENATE($G32,"-",$F32,"-",$H$2),'Look-ups'!$O$3:$S$34,5,FALSE)*VLOOKUP(CONCATENATE($F32,"-",$H$2,"-",L$3),'Look-ups'!$I$3:$M$24,5,FALSE)</f>
        <v>781.6666666666667</v>
      </c>
      <c r="M32">
        <f>VLOOKUP(CONCATENATE($G32,"-",$F32,"-",$H$2),'Look-ups'!$O$3:$S$34,5,FALSE)*VLOOKUP(CONCATENATE($F32,"-",$H$2,"-",M$3),'Look-ups'!$I$3:$M$24,5,FALSE)</f>
        <v>859.8333333333333</v>
      </c>
      <c r="N32">
        <f>VLOOKUP(CONCATENATE($G32,"-",$F32,"-",$N$2),'Look-ups'!$O$3:$S$34,5,FALSE)*VLOOKUP(CONCATENATE($F32,"-",$N$2,"-",N$3),'Look-ups'!$I$3:$M$24,5,FALSE)</f>
        <v>312</v>
      </c>
      <c r="O32">
        <f>VLOOKUP(CONCATENATE($G32,"-",$F32,"-",$N$2),'Look-ups'!$O$3:$S$34,5,FALSE)*VLOOKUP(CONCATENATE($F32,"-",$N$2,"-",O$3),'Look-ups'!$I$3:$M$24,5,FALSE)</f>
        <v>312</v>
      </c>
      <c r="P32">
        <f>VLOOKUP(CONCATENATE($G32,"-",$F32,"-",$N$2),'Look-ups'!$O$3:$S$34,5,FALSE)*VLOOKUP(CONCATENATE($F32,"-",$N$2,"-",P$3),'Look-ups'!$I$3:$M$24,5,FALSE)</f>
        <v>416</v>
      </c>
      <c r="Q32">
        <f>VLOOKUP(CONCATENATE($G32,"-",$F32,"-",$N$2),'Look-ups'!$O$3:$S$34,5,FALSE)*VLOOKUP(CONCATENATE($F32,"-",$N$2,"-",Q$3),'Look-ups'!$I$3:$M$24,5,FALSE)</f>
        <v>534.8571428571429</v>
      </c>
      <c r="R32">
        <f>VLOOKUP(CONCATENATE($G32,"-",$F32,"-",$N$2),'Look-ups'!$O$3:$S$34,5,FALSE)*VLOOKUP(CONCATENATE($F32,"-",$N$2,"-",R$3),'Look-ups'!$I$3:$M$24,5,FALSE)</f>
        <v>609.1428571428571</v>
      </c>
      <c r="S32" s="117">
        <f>VLOOKUP(CONCATENATE($G32,"-",$F32,"-Lone Person"),'Look-ups'!$Y$4:$AG$35,5,FALSE)</f>
        <v>106</v>
      </c>
      <c r="T32">
        <f>VLOOKUP(CONCATENATE($G32,"-",$F32,"-Lone Person"),'Look-ups'!$Y$4:$AG$35,6,FALSE)</f>
        <v>151.58</v>
      </c>
      <c r="U32">
        <f>VLOOKUP(CONCATENATE($G32,"-",$F32,"-Lone Person"),'Look-ups'!$Y$4:$AG$35,7,FALSE)</f>
        <v>181.26000000000002</v>
      </c>
      <c r="V32">
        <f>VLOOKUP(CONCATENATE($G32,"-",$F32,"-Lone Person"),'Look-ups'!$Y$4:$AG$35,8,FALSE)</f>
        <v>221.54000000000002</v>
      </c>
      <c r="W32">
        <f>VLOOKUP(CONCATENATE($G32,"-",$F32,"-Lone Person"),'Look-ups'!$Y$4:$AG$35,9,FALSE)</f>
        <v>210.94</v>
      </c>
      <c r="X32" s="117">
        <f>VLOOKUP(CONCATENATE($G32,"-",$F32,"-Couple Only"),'Look-ups'!$Y$4:$AG$35,5,FALSE)</f>
        <v>171.72</v>
      </c>
      <c r="Y32">
        <f>VLOOKUP(CONCATENATE($G32,"-",$F32,"-Couple Only"),'Look-ups'!$Y$4:$AG$35,6,FALSE)</f>
        <v>162.18</v>
      </c>
      <c r="Z32">
        <f>VLOOKUP(CONCATENATE($G32,"-",$F32,"-Couple Only"),'Look-ups'!$Y$4:$AG$35,7,FALSE)</f>
        <v>183.38</v>
      </c>
      <c r="AA32">
        <f>VLOOKUP(CONCATENATE($G32,"-",$F32,"-Couple Only"),'Look-ups'!$Y$4:$AG$35,8,FALSE)</f>
        <v>202.46</v>
      </c>
      <c r="AB32">
        <f>VLOOKUP(CONCATENATE($G32,"-",$F32,"-Couple Only"),'Look-ups'!$Y$4:$AG$35,9,FALSE)</f>
        <v>254.4</v>
      </c>
      <c r="AC32">
        <v>15</v>
      </c>
      <c r="AD32" t="s">
        <v>164</v>
      </c>
      <c r="AE32" s="260">
        <f>VLOOKUP($AD32,'Look-ups'!$A$122:$G$130,5,FALSE)</f>
        <v>0.09143686502177067</v>
      </c>
      <c r="AF32" s="260">
        <f>VLOOKUP($AD32,'Look-ups'!$A$122:$G$130,6,FALSE)</f>
        <v>0.2815674891146589</v>
      </c>
      <c r="AG32" s="260">
        <f>VLOOKUP($AD32,'Look-ups'!$A$122:$G$130,7,FALSE)</f>
        <v>0.6269956458635704</v>
      </c>
      <c r="AH32" s="264">
        <f>VLOOKUP($AC32,'Look-ups'!$A$50:$AO$118,'Look-ups'!$B$133*4,FALSE)*0.277778</f>
        <v>18.72728904402556</v>
      </c>
      <c r="AI32" s="264">
        <f>VLOOKUP($AC32,'Look-ups'!$A$50:$AO$118,'Look-ups'!$B$133*4+1,FALSE)*0.277778</f>
        <v>17.939406955974444</v>
      </c>
      <c r="AJ32" s="264">
        <f>AE32*$AH32/'Look-ups'!$B$141</f>
        <v>2.2383850987480396</v>
      </c>
      <c r="AK32" s="264">
        <f>AF32*$AH32/'Look-ups'!$B$140</f>
        <v>7.223281854864025</v>
      </c>
      <c r="AL32" s="264">
        <f>AG32*$AH32/'Look-ups'!$B$137</f>
        <v>2.236557845606204</v>
      </c>
      <c r="AM32" s="264">
        <f>AI32/'Look-ups'!$B$136</f>
        <v>3.7767172538893568</v>
      </c>
      <c r="AN32" s="263">
        <f>AJ32*VLOOKUP($AD32,'Look-ups'!$A$123:$M$130,10,FALSE)</f>
        <v>0.6074728448546762</v>
      </c>
      <c r="AO32" s="263">
        <f>AK32*VLOOKUP($AD32,'Look-ups'!$A$123:$M$130,9,FALSE)</f>
        <v>1.114133439857937</v>
      </c>
      <c r="AP32" s="263">
        <f>(AL32+AM32)*VLOOKUP($AD32,'Look-ups'!$A$123:$M$130,8,FALSE)</f>
        <v>1.7106905755300605</v>
      </c>
      <c r="AQ32" s="263">
        <f t="shared" si="0"/>
        <v>3.4322968602426736</v>
      </c>
      <c r="AR32" s="265">
        <f>AJ32*VLOOKUP($AD32,'Look-ups'!$A$123:$M$130,11,FALSE)</f>
        <v>0.009670094389234428</v>
      </c>
      <c r="AS32" s="265">
        <f>AK32*VLOOKUP($AD32,'Look-ups'!$A$123:$M$130,12,FALSE)</f>
        <v>1.340014090726656</v>
      </c>
      <c r="AT32" s="265">
        <f>(AL32+AM32)*VLOOKUP($AD32,'Look-ups'!$A$123:$M$130,13,FALSE)</f>
        <v>1.5478170106101574</v>
      </c>
      <c r="AU32" s="265">
        <f t="shared" si="1"/>
        <v>2.897501195726048</v>
      </c>
      <c r="AW32" t="s">
        <v>328</v>
      </c>
    </row>
    <row r="33" spans="1:49" ht="15">
      <c r="A33">
        <v>1029</v>
      </c>
      <c r="B33" t="s">
        <v>328</v>
      </c>
      <c r="C33">
        <v>127.2317</v>
      </c>
      <c r="D33">
        <v>17018</v>
      </c>
      <c r="E33">
        <v>133.75597433658436</v>
      </c>
      <c r="F33" t="s">
        <v>173</v>
      </c>
      <c r="G33" t="s">
        <v>164</v>
      </c>
      <c r="H33">
        <f>VLOOKUP(CONCATENATE($G33,"-",$F33,"-",$H$2),'Look-ups'!$O$3:$S$34,5,FALSE)*VLOOKUP(CONCATENATE($F33,"-",$H$2,"-",H$3),'Look-ups'!$I$3:$M$24,5,FALSE)</f>
        <v>312.66666666666663</v>
      </c>
      <c r="I33">
        <f>VLOOKUP(CONCATENATE($G33,"-",$F33,"-",$H$2),'Look-ups'!$O$3:$S$34,5,FALSE)*VLOOKUP(CONCATENATE($F33,"-",$H$2,"-",I$3),'Look-ups'!$I$3:$M$24,5,FALSE)</f>
        <v>469</v>
      </c>
      <c r="J33">
        <f>VLOOKUP(CONCATENATE($G33,"-",$F33,"-",$H$2),'Look-ups'!$O$3:$S$34,5,FALSE)*VLOOKUP(CONCATENATE($F33,"-",$H$2,"-",J$3),'Look-ups'!$I$3:$M$24,5,FALSE)</f>
        <v>547.1666666666667</v>
      </c>
      <c r="K33">
        <f>VLOOKUP(CONCATENATE($G33,"-",$F33,"-",$H$2),'Look-ups'!$O$3:$S$34,5,FALSE)*VLOOKUP(CONCATENATE($F33,"-",$H$2,"-",K$3),'Look-ups'!$I$3:$M$24,5,FALSE)</f>
        <v>703.5</v>
      </c>
      <c r="L33">
        <f>VLOOKUP(CONCATENATE($G33,"-",$F33,"-",$H$2),'Look-ups'!$O$3:$S$34,5,FALSE)*VLOOKUP(CONCATENATE($F33,"-",$H$2,"-",L$3),'Look-ups'!$I$3:$M$24,5,FALSE)</f>
        <v>781.6666666666667</v>
      </c>
      <c r="M33">
        <f>VLOOKUP(CONCATENATE($G33,"-",$F33,"-",$H$2),'Look-ups'!$O$3:$S$34,5,FALSE)*VLOOKUP(CONCATENATE($F33,"-",$H$2,"-",M$3),'Look-ups'!$I$3:$M$24,5,FALSE)</f>
        <v>859.8333333333333</v>
      </c>
      <c r="N33">
        <f>VLOOKUP(CONCATENATE($G33,"-",$F33,"-",$N$2),'Look-ups'!$O$3:$S$34,5,FALSE)*VLOOKUP(CONCATENATE($F33,"-",$N$2,"-",N$3),'Look-ups'!$I$3:$M$24,5,FALSE)</f>
        <v>312</v>
      </c>
      <c r="O33">
        <f>VLOOKUP(CONCATENATE($G33,"-",$F33,"-",$N$2),'Look-ups'!$O$3:$S$34,5,FALSE)*VLOOKUP(CONCATENATE($F33,"-",$N$2,"-",O$3),'Look-ups'!$I$3:$M$24,5,FALSE)</f>
        <v>312</v>
      </c>
      <c r="P33">
        <f>VLOOKUP(CONCATENATE($G33,"-",$F33,"-",$N$2),'Look-ups'!$O$3:$S$34,5,FALSE)*VLOOKUP(CONCATENATE($F33,"-",$N$2,"-",P$3),'Look-ups'!$I$3:$M$24,5,FALSE)</f>
        <v>416</v>
      </c>
      <c r="Q33">
        <f>VLOOKUP(CONCATENATE($G33,"-",$F33,"-",$N$2),'Look-ups'!$O$3:$S$34,5,FALSE)*VLOOKUP(CONCATENATE($F33,"-",$N$2,"-",Q$3),'Look-ups'!$I$3:$M$24,5,FALSE)</f>
        <v>534.8571428571429</v>
      </c>
      <c r="R33">
        <f>VLOOKUP(CONCATENATE($G33,"-",$F33,"-",$N$2),'Look-ups'!$O$3:$S$34,5,FALSE)*VLOOKUP(CONCATENATE($F33,"-",$N$2,"-",R$3),'Look-ups'!$I$3:$M$24,5,FALSE)</f>
        <v>609.1428571428571</v>
      </c>
      <c r="S33" s="117">
        <f>VLOOKUP(CONCATENATE($G33,"-",$F33,"-Lone Person"),'Look-ups'!$Y$4:$AG$35,5,FALSE)</f>
        <v>106</v>
      </c>
      <c r="T33">
        <f>VLOOKUP(CONCATENATE($G33,"-",$F33,"-Lone Person"),'Look-ups'!$Y$4:$AG$35,6,FALSE)</f>
        <v>151.58</v>
      </c>
      <c r="U33">
        <f>VLOOKUP(CONCATENATE($G33,"-",$F33,"-Lone Person"),'Look-ups'!$Y$4:$AG$35,7,FALSE)</f>
        <v>181.26000000000002</v>
      </c>
      <c r="V33">
        <f>VLOOKUP(CONCATENATE($G33,"-",$F33,"-Lone Person"),'Look-ups'!$Y$4:$AG$35,8,FALSE)</f>
        <v>221.54000000000002</v>
      </c>
      <c r="W33">
        <f>VLOOKUP(CONCATENATE($G33,"-",$F33,"-Lone Person"),'Look-ups'!$Y$4:$AG$35,9,FALSE)</f>
        <v>210.94</v>
      </c>
      <c r="X33" s="117">
        <f>VLOOKUP(CONCATENATE($G33,"-",$F33,"-Couple Only"),'Look-ups'!$Y$4:$AG$35,5,FALSE)</f>
        <v>171.72</v>
      </c>
      <c r="Y33">
        <f>VLOOKUP(CONCATENATE($G33,"-",$F33,"-Couple Only"),'Look-ups'!$Y$4:$AG$35,6,FALSE)</f>
        <v>162.18</v>
      </c>
      <c r="Z33">
        <f>VLOOKUP(CONCATENATE($G33,"-",$F33,"-Couple Only"),'Look-ups'!$Y$4:$AG$35,7,FALSE)</f>
        <v>183.38</v>
      </c>
      <c r="AA33">
        <f>VLOOKUP(CONCATENATE($G33,"-",$F33,"-Couple Only"),'Look-ups'!$Y$4:$AG$35,8,FALSE)</f>
        <v>202.46</v>
      </c>
      <c r="AB33">
        <f>VLOOKUP(CONCATENATE($G33,"-",$F33,"-Couple Only"),'Look-ups'!$Y$4:$AG$35,9,FALSE)</f>
        <v>254.4</v>
      </c>
      <c r="AC33">
        <v>28</v>
      </c>
      <c r="AD33" t="s">
        <v>164</v>
      </c>
      <c r="AE33" s="260">
        <f>VLOOKUP($AD33,'Look-ups'!$A$122:$G$130,5,FALSE)</f>
        <v>0.09143686502177067</v>
      </c>
      <c r="AF33" s="260">
        <f>VLOOKUP($AD33,'Look-ups'!$A$122:$G$130,6,FALSE)</f>
        <v>0.2815674891146589</v>
      </c>
      <c r="AG33" s="260">
        <f>VLOOKUP($AD33,'Look-ups'!$A$122:$G$130,7,FALSE)</f>
        <v>0.6269956458635704</v>
      </c>
      <c r="AH33" s="264">
        <f>VLOOKUP($AC33,'Look-ups'!$A$50:$AO$118,'Look-ups'!$B$133*4,FALSE)*0.277778</f>
        <v>33.959888203026054</v>
      </c>
      <c r="AI33" s="264">
        <f>VLOOKUP($AC33,'Look-ups'!$A$50:$AO$118,'Look-ups'!$B$133*4+1,FALSE)*0.277778</f>
        <v>34.37349979697395</v>
      </c>
      <c r="AJ33" s="264">
        <f>AE33*$AH33/'Look-ups'!$B$141</f>
        <v>4.059066292515707</v>
      </c>
      <c r="AK33" s="264">
        <f>AF33*$AH33/'Look-ups'!$B$140</f>
        <v>13.098630756082976</v>
      </c>
      <c r="AL33" s="264">
        <f>AG33*$AH33/'Look-ups'!$B$137</f>
        <v>4.055752769011612</v>
      </c>
      <c r="AM33" s="264">
        <f>AI33/'Look-ups'!$B$136</f>
        <v>7.236526273047148</v>
      </c>
      <c r="AN33" s="263">
        <f>AJ33*VLOOKUP($AD33,'Look-ups'!$A$123:$M$130,10,FALSE)</f>
        <v>1.1015854910521792</v>
      </c>
      <c r="AO33" s="263">
        <f>AK33*VLOOKUP($AD33,'Look-ups'!$A$123:$M$130,9,FALSE)</f>
        <v>2.0203590050797504</v>
      </c>
      <c r="AP33" s="263">
        <f>(AL33+AM33)*VLOOKUP($AD33,'Look-ups'!$A$123:$M$130,8,FALSE)</f>
        <v>3.2124915314661138</v>
      </c>
      <c r="AQ33" s="263">
        <f t="shared" si="0"/>
        <v>6.334436027598043</v>
      </c>
      <c r="AR33" s="265">
        <f>AJ33*VLOOKUP($AD33,'Look-ups'!$A$123:$M$130,11,FALSE)</f>
        <v>0.017535657382074552</v>
      </c>
      <c r="AS33" s="265">
        <f>AK33*VLOOKUP($AD33,'Look-ups'!$A$123:$M$130,12,FALSE)</f>
        <v>2.4299688334267766</v>
      </c>
      <c r="AT33" s="265">
        <f>(AL33+AM33)*VLOOKUP($AD33,'Look-ups'!$A$123:$M$130,13,FALSE)</f>
        <v>2.906632625425925</v>
      </c>
      <c r="AU33" s="265">
        <f t="shared" si="1"/>
        <v>5.354137116234776</v>
      </c>
      <c r="AW33" t="s">
        <v>329</v>
      </c>
    </row>
    <row r="34" spans="1:49" ht="15">
      <c r="A34">
        <v>1030</v>
      </c>
      <c r="B34" t="s">
        <v>329</v>
      </c>
      <c r="C34">
        <v>107.871099999999</v>
      </c>
      <c r="D34">
        <v>20105</v>
      </c>
      <c r="E34">
        <v>186.37985521608832</v>
      </c>
      <c r="F34" t="s">
        <v>173</v>
      </c>
      <c r="G34" t="s">
        <v>164</v>
      </c>
      <c r="H34">
        <f>VLOOKUP(CONCATENATE($G34,"-",$F34,"-",$H$2),'Look-ups'!$O$3:$S$34,5,FALSE)*VLOOKUP(CONCATENATE($F34,"-",$H$2,"-",H$3),'Look-ups'!$I$3:$M$24,5,FALSE)</f>
        <v>312.66666666666663</v>
      </c>
      <c r="I34">
        <f>VLOOKUP(CONCATENATE($G34,"-",$F34,"-",$H$2),'Look-ups'!$O$3:$S$34,5,FALSE)*VLOOKUP(CONCATENATE($F34,"-",$H$2,"-",I$3),'Look-ups'!$I$3:$M$24,5,FALSE)</f>
        <v>469</v>
      </c>
      <c r="J34">
        <f>VLOOKUP(CONCATENATE($G34,"-",$F34,"-",$H$2),'Look-ups'!$O$3:$S$34,5,FALSE)*VLOOKUP(CONCATENATE($F34,"-",$H$2,"-",J$3),'Look-ups'!$I$3:$M$24,5,FALSE)</f>
        <v>547.1666666666667</v>
      </c>
      <c r="K34">
        <f>VLOOKUP(CONCATENATE($G34,"-",$F34,"-",$H$2),'Look-ups'!$O$3:$S$34,5,FALSE)*VLOOKUP(CONCATENATE($F34,"-",$H$2,"-",K$3),'Look-ups'!$I$3:$M$24,5,FALSE)</f>
        <v>703.5</v>
      </c>
      <c r="L34">
        <f>VLOOKUP(CONCATENATE($G34,"-",$F34,"-",$H$2),'Look-ups'!$O$3:$S$34,5,FALSE)*VLOOKUP(CONCATENATE($F34,"-",$H$2,"-",L$3),'Look-ups'!$I$3:$M$24,5,FALSE)</f>
        <v>781.6666666666667</v>
      </c>
      <c r="M34">
        <f>VLOOKUP(CONCATENATE($G34,"-",$F34,"-",$H$2),'Look-ups'!$O$3:$S$34,5,FALSE)*VLOOKUP(CONCATENATE($F34,"-",$H$2,"-",M$3),'Look-ups'!$I$3:$M$24,5,FALSE)</f>
        <v>859.8333333333333</v>
      </c>
      <c r="N34">
        <f>VLOOKUP(CONCATENATE($G34,"-",$F34,"-",$N$2),'Look-ups'!$O$3:$S$34,5,FALSE)*VLOOKUP(CONCATENATE($F34,"-",$N$2,"-",N$3),'Look-ups'!$I$3:$M$24,5,FALSE)</f>
        <v>312</v>
      </c>
      <c r="O34">
        <f>VLOOKUP(CONCATENATE($G34,"-",$F34,"-",$N$2),'Look-ups'!$O$3:$S$34,5,FALSE)*VLOOKUP(CONCATENATE($F34,"-",$N$2,"-",O$3),'Look-ups'!$I$3:$M$24,5,FALSE)</f>
        <v>312</v>
      </c>
      <c r="P34">
        <f>VLOOKUP(CONCATENATE($G34,"-",$F34,"-",$N$2),'Look-ups'!$O$3:$S$34,5,FALSE)*VLOOKUP(CONCATENATE($F34,"-",$N$2,"-",P$3),'Look-ups'!$I$3:$M$24,5,FALSE)</f>
        <v>416</v>
      </c>
      <c r="Q34">
        <f>VLOOKUP(CONCATENATE($G34,"-",$F34,"-",$N$2),'Look-ups'!$O$3:$S$34,5,FALSE)*VLOOKUP(CONCATENATE($F34,"-",$N$2,"-",Q$3),'Look-ups'!$I$3:$M$24,5,FALSE)</f>
        <v>534.8571428571429</v>
      </c>
      <c r="R34">
        <f>VLOOKUP(CONCATENATE($G34,"-",$F34,"-",$N$2),'Look-ups'!$O$3:$S$34,5,FALSE)*VLOOKUP(CONCATENATE($F34,"-",$N$2,"-",R$3),'Look-ups'!$I$3:$M$24,5,FALSE)</f>
        <v>609.1428571428571</v>
      </c>
      <c r="S34" s="117">
        <f>VLOOKUP(CONCATENATE($G34,"-",$F34,"-Lone Person"),'Look-ups'!$Y$4:$AG$35,5,FALSE)</f>
        <v>106</v>
      </c>
      <c r="T34">
        <f>VLOOKUP(CONCATENATE($G34,"-",$F34,"-Lone Person"),'Look-ups'!$Y$4:$AG$35,6,FALSE)</f>
        <v>151.58</v>
      </c>
      <c r="U34">
        <f>VLOOKUP(CONCATENATE($G34,"-",$F34,"-Lone Person"),'Look-ups'!$Y$4:$AG$35,7,FALSE)</f>
        <v>181.26000000000002</v>
      </c>
      <c r="V34">
        <f>VLOOKUP(CONCATENATE($G34,"-",$F34,"-Lone Person"),'Look-ups'!$Y$4:$AG$35,8,FALSE)</f>
        <v>221.54000000000002</v>
      </c>
      <c r="W34">
        <f>VLOOKUP(CONCATENATE($G34,"-",$F34,"-Lone Person"),'Look-ups'!$Y$4:$AG$35,9,FALSE)</f>
        <v>210.94</v>
      </c>
      <c r="X34" s="117">
        <f>VLOOKUP(CONCATENATE($G34,"-",$F34,"-Couple Only"),'Look-ups'!$Y$4:$AG$35,5,FALSE)</f>
        <v>171.72</v>
      </c>
      <c r="Y34">
        <f>VLOOKUP(CONCATENATE($G34,"-",$F34,"-Couple Only"),'Look-ups'!$Y$4:$AG$35,6,FALSE)</f>
        <v>162.18</v>
      </c>
      <c r="Z34">
        <f>VLOOKUP(CONCATENATE($G34,"-",$F34,"-Couple Only"),'Look-ups'!$Y$4:$AG$35,7,FALSE)</f>
        <v>183.38</v>
      </c>
      <c r="AA34">
        <f>VLOOKUP(CONCATENATE($G34,"-",$F34,"-Couple Only"),'Look-ups'!$Y$4:$AG$35,8,FALSE)</f>
        <v>202.46</v>
      </c>
      <c r="AB34">
        <f>VLOOKUP(CONCATENATE($G34,"-",$F34,"-Couple Only"),'Look-ups'!$Y$4:$AG$35,9,FALSE)</f>
        <v>254.4</v>
      </c>
      <c r="AC34">
        <v>18</v>
      </c>
      <c r="AD34" t="s">
        <v>164</v>
      </c>
      <c r="AE34" s="260">
        <f>VLOOKUP($AD34,'Look-ups'!$A$122:$G$130,5,FALSE)</f>
        <v>0.09143686502177067</v>
      </c>
      <c r="AF34" s="260">
        <f>VLOOKUP($AD34,'Look-ups'!$A$122:$G$130,6,FALSE)</f>
        <v>0.2815674891146589</v>
      </c>
      <c r="AG34" s="260">
        <f>VLOOKUP($AD34,'Look-ups'!$A$122:$G$130,7,FALSE)</f>
        <v>0.6269956458635704</v>
      </c>
      <c r="AH34" s="264">
        <f>VLOOKUP($AC34,'Look-ups'!$A$50:$AO$118,'Look-ups'!$B$133*4,FALSE)*0.277778</f>
        <v>33.38164755508251</v>
      </c>
      <c r="AI34" s="264">
        <f>VLOOKUP($AC34,'Look-ups'!$A$50:$AO$118,'Look-ups'!$B$133*4+1,FALSE)*0.277778</f>
        <v>20.785062444917497</v>
      </c>
      <c r="AJ34" s="264">
        <f>AE34*$AH34/'Look-ups'!$B$141</f>
        <v>3.9899518976449686</v>
      </c>
      <c r="AK34" s="264">
        <f>AF34*$AH34/'Look-ups'!$B$140</f>
        <v>12.875598198075444</v>
      </c>
      <c r="AL34" s="264">
        <f>AG34*$AH34/'Look-ups'!$B$137</f>
        <v>3.9866947940550537</v>
      </c>
      <c r="AM34" s="264">
        <f>AI34/'Look-ups'!$B$136</f>
        <v>4.375802619982631</v>
      </c>
      <c r="AN34" s="263">
        <f>AJ34*VLOOKUP($AD34,'Look-ups'!$A$123:$M$130,10,FALSE)</f>
        <v>1.0828286122219817</v>
      </c>
      <c r="AO34" s="263">
        <f>AK34*VLOOKUP($AD34,'Look-ups'!$A$123:$M$130,9,FALSE)</f>
        <v>1.9859580172675528</v>
      </c>
      <c r="AP34" s="263">
        <f>(AL34+AM34)*VLOOKUP($AD34,'Look-ups'!$A$123:$M$130,8,FALSE)</f>
        <v>2.3790106518307863</v>
      </c>
      <c r="AQ34" s="263">
        <f t="shared" si="0"/>
        <v>5.447797281320321</v>
      </c>
      <c r="AR34" s="265">
        <f>AJ34*VLOOKUP($AD34,'Look-ups'!$A$123:$M$130,11,FALSE)</f>
        <v>0.01723707483592167</v>
      </c>
      <c r="AS34" s="265">
        <f>AK34*VLOOKUP($AD34,'Look-ups'!$A$123:$M$130,12,FALSE)</f>
        <v>2.388593351142412</v>
      </c>
      <c r="AT34" s="265">
        <f>(AL34+AM34)*VLOOKUP($AD34,'Look-ups'!$A$123:$M$130,13,FALSE)</f>
        <v>2.1525068343733</v>
      </c>
      <c r="AU34" s="265">
        <f t="shared" si="1"/>
        <v>4.5583372603516334</v>
      </c>
      <c r="AW34" t="s">
        <v>330</v>
      </c>
    </row>
    <row r="35" spans="1:49" ht="15">
      <c r="A35">
        <v>1031</v>
      </c>
      <c r="B35" t="s">
        <v>330</v>
      </c>
      <c r="C35">
        <v>4196.83719999999</v>
      </c>
      <c r="D35">
        <v>4830047</v>
      </c>
      <c r="E35">
        <v>1150.877856305699</v>
      </c>
      <c r="F35" t="s">
        <v>172</v>
      </c>
      <c r="G35" t="s">
        <v>164</v>
      </c>
      <c r="H35">
        <f>VLOOKUP(CONCATENATE($G35,"-",$F35,"-",$H$2),'Look-ups'!$O$3:$S$34,5,FALSE)*VLOOKUP(CONCATENATE($F35,"-",$H$2,"-",H$3),'Look-ups'!$I$3:$M$24,5,FALSE)</f>
        <v>274.30555555555554</v>
      </c>
      <c r="I35">
        <f>VLOOKUP(CONCATENATE($G35,"-",$F35,"-",$H$2),'Look-ups'!$O$3:$S$34,5,FALSE)*VLOOKUP(CONCATENATE($F35,"-",$H$2,"-",I$3),'Look-ups'!$I$3:$M$24,5,FALSE)</f>
        <v>395</v>
      </c>
      <c r="J35">
        <f>VLOOKUP(CONCATENATE($G35,"-",$F35,"-",$H$2),'Look-ups'!$O$3:$S$34,5,FALSE)*VLOOKUP(CONCATENATE($F35,"-",$H$2,"-",J$3),'Look-ups'!$I$3:$M$24,5,FALSE)</f>
        <v>482.7777777777778</v>
      </c>
      <c r="K35">
        <f>VLOOKUP(CONCATENATE($G35,"-",$F35,"-",$H$2),'Look-ups'!$O$3:$S$34,5,FALSE)*VLOOKUP(CONCATENATE($F35,"-",$H$2,"-",K$3),'Look-ups'!$I$3:$M$24,5,FALSE)</f>
        <v>614.4444444444445</v>
      </c>
      <c r="L35">
        <f>VLOOKUP(CONCATENATE($G35,"-",$F35,"-",$H$2),'Look-ups'!$O$3:$S$34,5,FALSE)*VLOOKUP(CONCATENATE($F35,"-",$H$2,"-",L$3),'Look-ups'!$I$3:$M$24,5,FALSE)</f>
        <v>740.625</v>
      </c>
      <c r="M35">
        <f>VLOOKUP(CONCATENATE($G35,"-",$F35,"-",$H$2),'Look-ups'!$O$3:$S$34,5,FALSE)*VLOOKUP(CONCATENATE($F35,"-",$H$2,"-",M$3),'Look-ups'!$I$3:$M$24,5,FALSE)</f>
        <v>822.9166666666667</v>
      </c>
      <c r="N35">
        <f>VLOOKUP(CONCATENATE($G35,"-",$F35,"-",$N$2),'Look-ups'!$O$3:$S$34,5,FALSE)*VLOOKUP(CONCATENATE($F35,"-",$N$2,"-",N$3),'Look-ups'!$I$3:$M$24,5,FALSE)</f>
        <v>277.33333333333337</v>
      </c>
      <c r="O35">
        <f>VLOOKUP(CONCATENATE($G35,"-",$F35,"-",$N$2),'Look-ups'!$O$3:$S$34,5,FALSE)*VLOOKUP(CONCATENATE($F35,"-",$N$2,"-",O$3),'Look-ups'!$I$3:$M$24,5,FALSE)</f>
        <v>373.3333333333333</v>
      </c>
      <c r="P35">
        <f>VLOOKUP(CONCATENATE($G35,"-",$F35,"-",$N$2),'Look-ups'!$O$3:$S$34,5,FALSE)*VLOOKUP(CONCATENATE($F35,"-",$N$2,"-",P$3),'Look-ups'!$I$3:$M$24,5,FALSE)</f>
        <v>400</v>
      </c>
      <c r="Q35">
        <f>VLOOKUP(CONCATENATE($G35,"-",$F35,"-",$N$2),'Look-ups'!$O$3:$S$34,5,FALSE)*VLOOKUP(CONCATENATE($F35,"-",$N$2,"-",Q$3),'Look-ups'!$I$3:$M$24,5,FALSE)</f>
        <v>522.6666666666666</v>
      </c>
      <c r="R35">
        <f>VLOOKUP(CONCATENATE($G35,"-",$F35,"-",$N$2),'Look-ups'!$O$3:$S$34,5,FALSE)*VLOOKUP(CONCATENATE($F35,"-",$N$2,"-",R$3),'Look-ups'!$I$3:$M$24,5,FALSE)</f>
        <v>586.6666666666666</v>
      </c>
      <c r="S35" s="117">
        <f>VLOOKUP(CONCATENATE($G35,"-",$F35,"-Lone Person"),'Look-ups'!$Y$4:$AG$35,5,FALSE)</f>
        <v>94.34</v>
      </c>
      <c r="T35">
        <f>VLOOKUP(CONCATENATE($G35,"-",$F35,"-Lone Person"),'Look-ups'!$Y$4:$AG$35,6,FALSE)</f>
        <v>134.62</v>
      </c>
      <c r="U35">
        <f>VLOOKUP(CONCATENATE($G35,"-",$F35,"-Lone Person"),'Look-ups'!$Y$4:$AG$35,7,FALSE)</f>
        <v>161.12</v>
      </c>
      <c r="V35">
        <f>VLOOKUP(CONCATENATE($G35,"-",$F35,"-Lone Person"),'Look-ups'!$Y$4:$AG$35,8,FALSE)</f>
        <v>197.16</v>
      </c>
      <c r="W35">
        <f>VLOOKUP(CONCATENATE($G35,"-",$F35,"-Lone Person"),'Look-ups'!$Y$4:$AG$35,9,FALSE)</f>
        <v>187.62</v>
      </c>
      <c r="X35" s="117">
        <f>VLOOKUP(CONCATENATE($G35,"-",$F35,"-Couple Only"),'Look-ups'!$Y$4:$AG$35,5,FALSE)</f>
        <v>152.64000000000001</v>
      </c>
      <c r="Y35">
        <f>VLOOKUP(CONCATENATE($G35,"-",$F35,"-Couple Only"),'Look-ups'!$Y$4:$AG$35,6,FALSE)</f>
        <v>144.16</v>
      </c>
      <c r="Z35">
        <f>VLOOKUP(CONCATENATE($G35,"-",$F35,"-Couple Only"),'Look-ups'!$Y$4:$AG$35,7,FALSE)</f>
        <v>163.24</v>
      </c>
      <c r="AA35">
        <f>VLOOKUP(CONCATENATE($G35,"-",$F35,"-Couple Only"),'Look-ups'!$Y$4:$AG$35,8,FALSE)</f>
        <v>180.20000000000002</v>
      </c>
      <c r="AB35">
        <f>VLOOKUP(CONCATENATE($G35,"-",$F35,"-Couple Only"),'Look-ups'!$Y$4:$AG$35,9,FALSE)</f>
        <v>226.84</v>
      </c>
      <c r="AC35">
        <v>17</v>
      </c>
      <c r="AD35" t="s">
        <v>164</v>
      </c>
      <c r="AE35" s="260">
        <f>VLOOKUP($AD35,'Look-ups'!$A$122:$G$130,5,FALSE)</f>
        <v>0.09143686502177067</v>
      </c>
      <c r="AF35" s="260">
        <f>VLOOKUP($AD35,'Look-ups'!$A$122:$G$130,6,FALSE)</f>
        <v>0.2815674891146589</v>
      </c>
      <c r="AG35" s="260">
        <f>VLOOKUP($AD35,'Look-ups'!$A$122:$G$130,7,FALSE)</f>
        <v>0.6269956458635704</v>
      </c>
      <c r="AH35" s="264">
        <f>VLOOKUP($AC35,'Look-ups'!$A$50:$AO$118,'Look-ups'!$B$133*4,FALSE)*0.277778</f>
        <v>11.411866822792344</v>
      </c>
      <c r="AI35" s="264">
        <f>VLOOKUP($AC35,'Look-ups'!$A$50:$AO$118,'Look-ups'!$B$133*4+1,FALSE)*0.277778</f>
        <v>11.921485177207657</v>
      </c>
      <c r="AJ35" s="264">
        <f>AE35*$AH35/'Look-ups'!$B$141</f>
        <v>1.3640069625125315</v>
      </c>
      <c r="AK35" s="264">
        <f>AF35*$AH35/'Look-ups'!$B$140</f>
        <v>4.401658475896603</v>
      </c>
      <c r="AL35" s="264">
        <f>AG35*$AH35/'Look-ups'!$B$137</f>
        <v>1.3628934874410927</v>
      </c>
      <c r="AM35" s="264">
        <f>AI35/'Look-ups'!$B$136</f>
        <v>2.5097863530963487</v>
      </c>
      <c r="AN35" s="263">
        <f>AJ35*VLOOKUP($AD35,'Look-ups'!$A$123:$M$130,10,FALSE)</f>
        <v>0.37017633399298416</v>
      </c>
      <c r="AO35" s="263">
        <f>AK35*VLOOKUP($AD35,'Look-ups'!$A$123:$M$130,9,FALSE)</f>
        <v>0.6789206066392439</v>
      </c>
      <c r="AP35" s="263">
        <f>(AL35+AM35)*VLOOKUP($AD35,'Look-ups'!$A$123:$M$130,8,FALSE)</f>
        <v>1.1017219062218542</v>
      </c>
      <c r="AQ35" s="263">
        <f t="shared" si="0"/>
        <v>2.150818846854082</v>
      </c>
      <c r="AR35" s="265">
        <f>AJ35*VLOOKUP($AD35,'Look-ups'!$A$123:$M$130,11,FALSE)</f>
        <v>0.005892675072956178</v>
      </c>
      <c r="AS35" s="265">
        <f>AK35*VLOOKUP($AD35,'Look-ups'!$A$123:$M$130,12,FALSE)</f>
        <v>0.81656572438691</v>
      </c>
      <c r="AT35" s="265">
        <f>(AL35+AM35)*VLOOKUP($AD35,'Look-ups'!$A$123:$M$130,13,FALSE)</f>
        <v>0.9968277909543374</v>
      </c>
      <c r="AU35" s="265">
        <f t="shared" si="1"/>
        <v>1.8192861904142035</v>
      </c>
      <c r="AW35" t="s">
        <v>331</v>
      </c>
    </row>
    <row r="36" spans="1:49" ht="15">
      <c r="A36">
        <v>1032</v>
      </c>
      <c r="B36" t="s">
        <v>331</v>
      </c>
      <c r="C36">
        <v>240.7449</v>
      </c>
      <c r="D36">
        <v>43874</v>
      </c>
      <c r="E36">
        <v>182.24269756077908</v>
      </c>
      <c r="F36" t="s">
        <v>173</v>
      </c>
      <c r="G36" t="s">
        <v>164</v>
      </c>
      <c r="H36">
        <f>VLOOKUP(CONCATENATE($G36,"-",$F36,"-",$H$2),'Look-ups'!$O$3:$S$34,5,FALSE)*VLOOKUP(CONCATENATE($F36,"-",$H$2,"-",H$3),'Look-ups'!$I$3:$M$24,5,FALSE)</f>
        <v>312.66666666666663</v>
      </c>
      <c r="I36">
        <f>VLOOKUP(CONCATENATE($G36,"-",$F36,"-",$H$2),'Look-ups'!$O$3:$S$34,5,FALSE)*VLOOKUP(CONCATENATE($F36,"-",$H$2,"-",I$3),'Look-ups'!$I$3:$M$24,5,FALSE)</f>
        <v>469</v>
      </c>
      <c r="J36">
        <f>VLOOKUP(CONCATENATE($G36,"-",$F36,"-",$H$2),'Look-ups'!$O$3:$S$34,5,FALSE)*VLOOKUP(CONCATENATE($F36,"-",$H$2,"-",J$3),'Look-ups'!$I$3:$M$24,5,FALSE)</f>
        <v>547.1666666666667</v>
      </c>
      <c r="K36">
        <f>VLOOKUP(CONCATENATE($G36,"-",$F36,"-",$H$2),'Look-ups'!$O$3:$S$34,5,FALSE)*VLOOKUP(CONCATENATE($F36,"-",$H$2,"-",K$3),'Look-ups'!$I$3:$M$24,5,FALSE)</f>
        <v>703.5</v>
      </c>
      <c r="L36">
        <f>VLOOKUP(CONCATENATE($G36,"-",$F36,"-",$H$2),'Look-ups'!$O$3:$S$34,5,FALSE)*VLOOKUP(CONCATENATE($F36,"-",$H$2,"-",L$3),'Look-ups'!$I$3:$M$24,5,FALSE)</f>
        <v>781.6666666666667</v>
      </c>
      <c r="M36">
        <f>VLOOKUP(CONCATENATE($G36,"-",$F36,"-",$H$2),'Look-ups'!$O$3:$S$34,5,FALSE)*VLOOKUP(CONCATENATE($F36,"-",$H$2,"-",M$3),'Look-ups'!$I$3:$M$24,5,FALSE)</f>
        <v>859.8333333333333</v>
      </c>
      <c r="N36">
        <f>VLOOKUP(CONCATENATE($G36,"-",$F36,"-",$N$2),'Look-ups'!$O$3:$S$34,5,FALSE)*VLOOKUP(CONCATENATE($F36,"-",$N$2,"-",N$3),'Look-ups'!$I$3:$M$24,5,FALSE)</f>
        <v>312</v>
      </c>
      <c r="O36">
        <f>VLOOKUP(CONCATENATE($G36,"-",$F36,"-",$N$2),'Look-ups'!$O$3:$S$34,5,FALSE)*VLOOKUP(CONCATENATE($F36,"-",$N$2,"-",O$3),'Look-ups'!$I$3:$M$24,5,FALSE)</f>
        <v>312</v>
      </c>
      <c r="P36">
        <f>VLOOKUP(CONCATENATE($G36,"-",$F36,"-",$N$2),'Look-ups'!$O$3:$S$34,5,FALSE)*VLOOKUP(CONCATENATE($F36,"-",$N$2,"-",P$3),'Look-ups'!$I$3:$M$24,5,FALSE)</f>
        <v>416</v>
      </c>
      <c r="Q36">
        <f>VLOOKUP(CONCATENATE($G36,"-",$F36,"-",$N$2),'Look-ups'!$O$3:$S$34,5,FALSE)*VLOOKUP(CONCATENATE($F36,"-",$N$2,"-",Q$3),'Look-ups'!$I$3:$M$24,5,FALSE)</f>
        <v>534.8571428571429</v>
      </c>
      <c r="R36">
        <f>VLOOKUP(CONCATENATE($G36,"-",$F36,"-",$N$2),'Look-ups'!$O$3:$S$34,5,FALSE)*VLOOKUP(CONCATENATE($F36,"-",$N$2,"-",R$3),'Look-ups'!$I$3:$M$24,5,FALSE)</f>
        <v>609.1428571428571</v>
      </c>
      <c r="S36" s="117">
        <f>VLOOKUP(CONCATENATE($G36,"-",$F36,"-Lone Person"),'Look-ups'!$Y$4:$AG$35,5,FALSE)</f>
        <v>106</v>
      </c>
      <c r="T36">
        <f>VLOOKUP(CONCATENATE($G36,"-",$F36,"-Lone Person"),'Look-ups'!$Y$4:$AG$35,6,FALSE)</f>
        <v>151.58</v>
      </c>
      <c r="U36">
        <f>VLOOKUP(CONCATENATE($G36,"-",$F36,"-Lone Person"),'Look-ups'!$Y$4:$AG$35,7,FALSE)</f>
        <v>181.26000000000002</v>
      </c>
      <c r="V36">
        <f>VLOOKUP(CONCATENATE($G36,"-",$F36,"-Lone Person"),'Look-ups'!$Y$4:$AG$35,8,FALSE)</f>
        <v>221.54000000000002</v>
      </c>
      <c r="W36">
        <f>VLOOKUP(CONCATENATE($G36,"-",$F36,"-Lone Person"),'Look-ups'!$Y$4:$AG$35,9,FALSE)</f>
        <v>210.94</v>
      </c>
      <c r="X36" s="117">
        <f>VLOOKUP(CONCATENATE($G36,"-",$F36,"-Couple Only"),'Look-ups'!$Y$4:$AG$35,5,FALSE)</f>
        <v>171.72</v>
      </c>
      <c r="Y36">
        <f>VLOOKUP(CONCATENATE($G36,"-",$F36,"-Couple Only"),'Look-ups'!$Y$4:$AG$35,6,FALSE)</f>
        <v>162.18</v>
      </c>
      <c r="Z36">
        <f>VLOOKUP(CONCATENATE($G36,"-",$F36,"-Couple Only"),'Look-ups'!$Y$4:$AG$35,7,FALSE)</f>
        <v>183.38</v>
      </c>
      <c r="AA36">
        <f>VLOOKUP(CONCATENATE($G36,"-",$F36,"-Couple Only"),'Look-ups'!$Y$4:$AG$35,8,FALSE)</f>
        <v>202.46</v>
      </c>
      <c r="AB36">
        <f>VLOOKUP(CONCATENATE($G36,"-",$F36,"-Couple Only"),'Look-ups'!$Y$4:$AG$35,9,FALSE)</f>
        <v>254.4</v>
      </c>
      <c r="AC36">
        <v>14</v>
      </c>
      <c r="AD36" t="s">
        <v>164</v>
      </c>
      <c r="AE36" s="260">
        <f>VLOOKUP($AD36,'Look-ups'!$A$122:$G$130,5,FALSE)</f>
        <v>0.09143686502177067</v>
      </c>
      <c r="AF36" s="260">
        <f>VLOOKUP($AD36,'Look-ups'!$A$122:$G$130,6,FALSE)</f>
        <v>0.2815674891146589</v>
      </c>
      <c r="AG36" s="260">
        <f>VLOOKUP($AD36,'Look-ups'!$A$122:$G$130,7,FALSE)</f>
        <v>0.6269956458635704</v>
      </c>
      <c r="AH36" s="264">
        <f>VLOOKUP($AC36,'Look-ups'!$A$50:$AO$118,'Look-ups'!$B$133*4,FALSE)*0.277778</f>
        <v>102.2152329540214</v>
      </c>
      <c r="AI36" s="264">
        <f>VLOOKUP($AC36,'Look-ups'!$A$50:$AO$118,'Look-ups'!$B$133*4+1,FALSE)*0.277778</f>
        <v>8.618189045978601</v>
      </c>
      <c r="AJ36" s="264">
        <f>AE36*$AH36/'Look-ups'!$B$141</f>
        <v>12.217307789262355</v>
      </c>
      <c r="AK36" s="264">
        <f>AF36*$AH36/'Look-ups'!$B$140</f>
        <v>39.42532396182705</v>
      </c>
      <c r="AL36" s="264">
        <f>AG36*$AH36/'Look-ups'!$B$137</f>
        <v>12.207334476781325</v>
      </c>
      <c r="AM36" s="264">
        <f>AI36/'Look-ups'!$B$136</f>
        <v>1.814355588627074</v>
      </c>
      <c r="AN36" s="263">
        <f>AJ36*VLOOKUP($AD36,'Look-ups'!$A$123:$M$130,10,FALSE)</f>
        <v>3.3156415861414774</v>
      </c>
      <c r="AO36" s="263">
        <f>AK36*VLOOKUP($AD36,'Look-ups'!$A$123:$M$130,9,FALSE)</f>
        <v>6.081040818520128</v>
      </c>
      <c r="AP36" s="263">
        <f>(AL36+AM36)*VLOOKUP($AD36,'Look-ups'!$A$123:$M$130,8,FALSE)</f>
        <v>3.9889698460510847</v>
      </c>
      <c r="AQ36" s="263">
        <f t="shared" si="0"/>
        <v>13.38565225071269</v>
      </c>
      <c r="AR36" s="265">
        <f>AJ36*VLOOKUP($AD36,'Look-ups'!$A$123:$M$130,11,FALSE)</f>
        <v>0.052780247496543274</v>
      </c>
      <c r="AS36" s="265">
        <f>AK36*VLOOKUP($AD36,'Look-ups'!$A$123:$M$130,12,FALSE)</f>
        <v>7.313917787208654</v>
      </c>
      <c r="AT36" s="265">
        <f>(AL36+AM36)*VLOOKUP($AD36,'Look-ups'!$A$123:$M$130,13,FALSE)</f>
        <v>3.609183022836122</v>
      </c>
      <c r="AU36" s="265">
        <f t="shared" si="1"/>
        <v>10.975881057541319</v>
      </c>
      <c r="AW36" t="s">
        <v>332</v>
      </c>
    </row>
    <row r="37" spans="1:49" ht="15">
      <c r="A37">
        <v>1033</v>
      </c>
      <c r="B37" t="s">
        <v>332</v>
      </c>
      <c r="C37">
        <v>186.649499999999</v>
      </c>
      <c r="D37">
        <v>26519</v>
      </c>
      <c r="E37">
        <v>142.0791376349797</v>
      </c>
      <c r="F37" t="s">
        <v>173</v>
      </c>
      <c r="G37" t="s">
        <v>164</v>
      </c>
      <c r="H37">
        <f>VLOOKUP(CONCATENATE($G37,"-",$F37,"-",$H$2),'Look-ups'!$O$3:$S$34,5,FALSE)*VLOOKUP(CONCATENATE($F37,"-",$H$2,"-",H$3),'Look-ups'!$I$3:$M$24,5,FALSE)</f>
        <v>312.66666666666663</v>
      </c>
      <c r="I37">
        <f>VLOOKUP(CONCATENATE($G37,"-",$F37,"-",$H$2),'Look-ups'!$O$3:$S$34,5,FALSE)*VLOOKUP(CONCATENATE($F37,"-",$H$2,"-",I$3),'Look-ups'!$I$3:$M$24,5,FALSE)</f>
        <v>469</v>
      </c>
      <c r="J37">
        <f>VLOOKUP(CONCATENATE($G37,"-",$F37,"-",$H$2),'Look-ups'!$O$3:$S$34,5,FALSE)*VLOOKUP(CONCATENATE($F37,"-",$H$2,"-",J$3),'Look-ups'!$I$3:$M$24,5,FALSE)</f>
        <v>547.1666666666667</v>
      </c>
      <c r="K37">
        <f>VLOOKUP(CONCATENATE($G37,"-",$F37,"-",$H$2),'Look-ups'!$O$3:$S$34,5,FALSE)*VLOOKUP(CONCATENATE($F37,"-",$H$2,"-",K$3),'Look-ups'!$I$3:$M$24,5,FALSE)</f>
        <v>703.5</v>
      </c>
      <c r="L37">
        <f>VLOOKUP(CONCATENATE($G37,"-",$F37,"-",$H$2),'Look-ups'!$O$3:$S$34,5,FALSE)*VLOOKUP(CONCATENATE($F37,"-",$H$2,"-",L$3),'Look-ups'!$I$3:$M$24,5,FALSE)</f>
        <v>781.6666666666667</v>
      </c>
      <c r="M37">
        <f>VLOOKUP(CONCATENATE($G37,"-",$F37,"-",$H$2),'Look-ups'!$O$3:$S$34,5,FALSE)*VLOOKUP(CONCATENATE($F37,"-",$H$2,"-",M$3),'Look-ups'!$I$3:$M$24,5,FALSE)</f>
        <v>859.8333333333333</v>
      </c>
      <c r="N37">
        <f>VLOOKUP(CONCATENATE($G37,"-",$F37,"-",$N$2),'Look-ups'!$O$3:$S$34,5,FALSE)*VLOOKUP(CONCATENATE($F37,"-",$N$2,"-",N$3),'Look-ups'!$I$3:$M$24,5,FALSE)</f>
        <v>312</v>
      </c>
      <c r="O37">
        <f>VLOOKUP(CONCATENATE($G37,"-",$F37,"-",$N$2),'Look-ups'!$O$3:$S$34,5,FALSE)*VLOOKUP(CONCATENATE($F37,"-",$N$2,"-",O$3),'Look-ups'!$I$3:$M$24,5,FALSE)</f>
        <v>312</v>
      </c>
      <c r="P37">
        <f>VLOOKUP(CONCATENATE($G37,"-",$F37,"-",$N$2),'Look-ups'!$O$3:$S$34,5,FALSE)*VLOOKUP(CONCATENATE($F37,"-",$N$2,"-",P$3),'Look-ups'!$I$3:$M$24,5,FALSE)</f>
        <v>416</v>
      </c>
      <c r="Q37">
        <f>VLOOKUP(CONCATENATE($G37,"-",$F37,"-",$N$2),'Look-ups'!$O$3:$S$34,5,FALSE)*VLOOKUP(CONCATENATE($F37,"-",$N$2,"-",Q$3),'Look-ups'!$I$3:$M$24,5,FALSE)</f>
        <v>534.8571428571429</v>
      </c>
      <c r="R37">
        <f>VLOOKUP(CONCATENATE($G37,"-",$F37,"-",$N$2),'Look-ups'!$O$3:$S$34,5,FALSE)*VLOOKUP(CONCATENATE($F37,"-",$N$2,"-",R$3),'Look-ups'!$I$3:$M$24,5,FALSE)</f>
        <v>609.1428571428571</v>
      </c>
      <c r="S37" s="117">
        <f>VLOOKUP(CONCATENATE($G37,"-",$F37,"-Lone Person"),'Look-ups'!$Y$4:$AG$35,5,FALSE)</f>
        <v>106</v>
      </c>
      <c r="T37">
        <f>VLOOKUP(CONCATENATE($G37,"-",$F37,"-Lone Person"),'Look-ups'!$Y$4:$AG$35,6,FALSE)</f>
        <v>151.58</v>
      </c>
      <c r="U37">
        <f>VLOOKUP(CONCATENATE($G37,"-",$F37,"-Lone Person"),'Look-ups'!$Y$4:$AG$35,7,FALSE)</f>
        <v>181.26000000000002</v>
      </c>
      <c r="V37">
        <f>VLOOKUP(CONCATENATE($G37,"-",$F37,"-Lone Person"),'Look-ups'!$Y$4:$AG$35,8,FALSE)</f>
        <v>221.54000000000002</v>
      </c>
      <c r="W37">
        <f>VLOOKUP(CONCATENATE($G37,"-",$F37,"-Lone Person"),'Look-ups'!$Y$4:$AG$35,9,FALSE)</f>
        <v>210.94</v>
      </c>
      <c r="X37" s="117">
        <f>VLOOKUP(CONCATENATE($G37,"-",$F37,"-Couple Only"),'Look-ups'!$Y$4:$AG$35,5,FALSE)</f>
        <v>171.72</v>
      </c>
      <c r="Y37">
        <f>VLOOKUP(CONCATENATE($G37,"-",$F37,"-Couple Only"),'Look-ups'!$Y$4:$AG$35,6,FALSE)</f>
        <v>162.18</v>
      </c>
      <c r="Z37">
        <f>VLOOKUP(CONCATENATE($G37,"-",$F37,"-Couple Only"),'Look-ups'!$Y$4:$AG$35,7,FALSE)</f>
        <v>183.38</v>
      </c>
      <c r="AA37">
        <f>VLOOKUP(CONCATENATE($G37,"-",$F37,"-Couple Only"),'Look-ups'!$Y$4:$AG$35,8,FALSE)</f>
        <v>202.46</v>
      </c>
      <c r="AB37">
        <f>VLOOKUP(CONCATENATE($G37,"-",$F37,"-Couple Only"),'Look-ups'!$Y$4:$AG$35,9,FALSE)</f>
        <v>254.4</v>
      </c>
      <c r="AC37">
        <v>15</v>
      </c>
      <c r="AD37" t="s">
        <v>164</v>
      </c>
      <c r="AE37" s="260">
        <f>VLOOKUP($AD37,'Look-ups'!$A$122:$G$130,5,FALSE)</f>
        <v>0.09143686502177067</v>
      </c>
      <c r="AF37" s="260">
        <f>VLOOKUP($AD37,'Look-ups'!$A$122:$G$130,6,FALSE)</f>
        <v>0.2815674891146589</v>
      </c>
      <c r="AG37" s="260">
        <f>VLOOKUP($AD37,'Look-ups'!$A$122:$G$130,7,FALSE)</f>
        <v>0.6269956458635704</v>
      </c>
      <c r="AH37" s="264">
        <f>VLOOKUP($AC37,'Look-ups'!$A$50:$AO$118,'Look-ups'!$B$133*4,FALSE)*0.277778</f>
        <v>18.72728904402556</v>
      </c>
      <c r="AI37" s="264">
        <f>VLOOKUP($AC37,'Look-ups'!$A$50:$AO$118,'Look-ups'!$B$133*4+1,FALSE)*0.277778</f>
        <v>17.939406955974444</v>
      </c>
      <c r="AJ37" s="264">
        <f>AE37*$AH37/'Look-ups'!$B$141</f>
        <v>2.2383850987480396</v>
      </c>
      <c r="AK37" s="264">
        <f>AF37*$AH37/'Look-ups'!$B$140</f>
        <v>7.223281854864025</v>
      </c>
      <c r="AL37" s="264">
        <f>AG37*$AH37/'Look-ups'!$B$137</f>
        <v>2.236557845606204</v>
      </c>
      <c r="AM37" s="264">
        <f>AI37/'Look-ups'!$B$136</f>
        <v>3.7767172538893568</v>
      </c>
      <c r="AN37" s="263">
        <f>AJ37*VLOOKUP($AD37,'Look-ups'!$A$123:$M$130,10,FALSE)</f>
        <v>0.6074728448546762</v>
      </c>
      <c r="AO37" s="263">
        <f>AK37*VLOOKUP($AD37,'Look-ups'!$A$123:$M$130,9,FALSE)</f>
        <v>1.114133439857937</v>
      </c>
      <c r="AP37" s="263">
        <f>(AL37+AM37)*VLOOKUP($AD37,'Look-ups'!$A$123:$M$130,8,FALSE)</f>
        <v>1.7106905755300605</v>
      </c>
      <c r="AQ37" s="263">
        <f t="shared" si="0"/>
        <v>3.4322968602426736</v>
      </c>
      <c r="AR37" s="265">
        <f>AJ37*VLOOKUP($AD37,'Look-ups'!$A$123:$M$130,11,FALSE)</f>
        <v>0.009670094389234428</v>
      </c>
      <c r="AS37" s="265">
        <f>AK37*VLOOKUP($AD37,'Look-ups'!$A$123:$M$130,12,FALSE)</f>
        <v>1.340014090726656</v>
      </c>
      <c r="AT37" s="265">
        <f>(AL37+AM37)*VLOOKUP($AD37,'Look-ups'!$A$123:$M$130,13,FALSE)</f>
        <v>1.5478170106101574</v>
      </c>
      <c r="AU37" s="265">
        <f t="shared" si="1"/>
        <v>2.897501195726048</v>
      </c>
      <c r="AW37" t="s">
        <v>333</v>
      </c>
    </row>
    <row r="38" spans="1:49" ht="15">
      <c r="A38">
        <v>1034</v>
      </c>
      <c r="B38" t="s">
        <v>333</v>
      </c>
      <c r="C38">
        <v>46.7764999999999</v>
      </c>
      <c r="D38">
        <v>17026</v>
      </c>
      <c r="E38">
        <v>363.9861896465113</v>
      </c>
      <c r="F38" t="s">
        <v>173</v>
      </c>
      <c r="G38" t="s">
        <v>164</v>
      </c>
      <c r="H38">
        <f>VLOOKUP(CONCATENATE($G38,"-",$F38,"-",$H$2),'Look-ups'!$O$3:$S$34,5,FALSE)*VLOOKUP(CONCATENATE($F38,"-",$H$2,"-",H$3),'Look-ups'!$I$3:$M$24,5,FALSE)</f>
        <v>312.66666666666663</v>
      </c>
      <c r="I38">
        <f>VLOOKUP(CONCATENATE($G38,"-",$F38,"-",$H$2),'Look-ups'!$O$3:$S$34,5,FALSE)*VLOOKUP(CONCATENATE($F38,"-",$H$2,"-",I$3),'Look-ups'!$I$3:$M$24,5,FALSE)</f>
        <v>469</v>
      </c>
      <c r="J38">
        <f>VLOOKUP(CONCATENATE($G38,"-",$F38,"-",$H$2),'Look-ups'!$O$3:$S$34,5,FALSE)*VLOOKUP(CONCATENATE($F38,"-",$H$2,"-",J$3),'Look-ups'!$I$3:$M$24,5,FALSE)</f>
        <v>547.1666666666667</v>
      </c>
      <c r="K38">
        <f>VLOOKUP(CONCATENATE($G38,"-",$F38,"-",$H$2),'Look-ups'!$O$3:$S$34,5,FALSE)*VLOOKUP(CONCATENATE($F38,"-",$H$2,"-",K$3),'Look-ups'!$I$3:$M$24,5,FALSE)</f>
        <v>703.5</v>
      </c>
      <c r="L38">
        <f>VLOOKUP(CONCATENATE($G38,"-",$F38,"-",$H$2),'Look-ups'!$O$3:$S$34,5,FALSE)*VLOOKUP(CONCATENATE($F38,"-",$H$2,"-",L$3),'Look-ups'!$I$3:$M$24,5,FALSE)</f>
        <v>781.6666666666667</v>
      </c>
      <c r="M38">
        <f>VLOOKUP(CONCATENATE($G38,"-",$F38,"-",$H$2),'Look-ups'!$O$3:$S$34,5,FALSE)*VLOOKUP(CONCATENATE($F38,"-",$H$2,"-",M$3),'Look-ups'!$I$3:$M$24,5,FALSE)</f>
        <v>859.8333333333333</v>
      </c>
      <c r="N38">
        <f>VLOOKUP(CONCATENATE($G38,"-",$F38,"-",$N$2),'Look-ups'!$O$3:$S$34,5,FALSE)*VLOOKUP(CONCATENATE($F38,"-",$N$2,"-",N$3),'Look-ups'!$I$3:$M$24,5,FALSE)</f>
        <v>312</v>
      </c>
      <c r="O38">
        <f>VLOOKUP(CONCATENATE($G38,"-",$F38,"-",$N$2),'Look-ups'!$O$3:$S$34,5,FALSE)*VLOOKUP(CONCATENATE($F38,"-",$N$2,"-",O$3),'Look-ups'!$I$3:$M$24,5,FALSE)</f>
        <v>312</v>
      </c>
      <c r="P38">
        <f>VLOOKUP(CONCATENATE($G38,"-",$F38,"-",$N$2),'Look-ups'!$O$3:$S$34,5,FALSE)*VLOOKUP(CONCATENATE($F38,"-",$N$2,"-",P$3),'Look-ups'!$I$3:$M$24,5,FALSE)</f>
        <v>416</v>
      </c>
      <c r="Q38">
        <f>VLOOKUP(CONCATENATE($G38,"-",$F38,"-",$N$2),'Look-ups'!$O$3:$S$34,5,FALSE)*VLOOKUP(CONCATENATE($F38,"-",$N$2,"-",Q$3),'Look-ups'!$I$3:$M$24,5,FALSE)</f>
        <v>534.8571428571429</v>
      </c>
      <c r="R38">
        <f>VLOOKUP(CONCATENATE($G38,"-",$F38,"-",$N$2),'Look-ups'!$O$3:$S$34,5,FALSE)*VLOOKUP(CONCATENATE($F38,"-",$N$2,"-",R$3),'Look-ups'!$I$3:$M$24,5,FALSE)</f>
        <v>609.1428571428571</v>
      </c>
      <c r="S38" s="117">
        <f>VLOOKUP(CONCATENATE($G38,"-",$F38,"-Lone Person"),'Look-ups'!$Y$4:$AG$35,5,FALSE)</f>
        <v>106</v>
      </c>
      <c r="T38">
        <f>VLOOKUP(CONCATENATE($G38,"-",$F38,"-Lone Person"),'Look-ups'!$Y$4:$AG$35,6,FALSE)</f>
        <v>151.58</v>
      </c>
      <c r="U38">
        <f>VLOOKUP(CONCATENATE($G38,"-",$F38,"-Lone Person"),'Look-ups'!$Y$4:$AG$35,7,FALSE)</f>
        <v>181.26000000000002</v>
      </c>
      <c r="V38">
        <f>VLOOKUP(CONCATENATE($G38,"-",$F38,"-Lone Person"),'Look-ups'!$Y$4:$AG$35,8,FALSE)</f>
        <v>221.54000000000002</v>
      </c>
      <c r="W38">
        <f>VLOOKUP(CONCATENATE($G38,"-",$F38,"-Lone Person"),'Look-ups'!$Y$4:$AG$35,9,FALSE)</f>
        <v>210.94</v>
      </c>
      <c r="X38" s="117">
        <f>VLOOKUP(CONCATENATE($G38,"-",$F38,"-Couple Only"),'Look-ups'!$Y$4:$AG$35,5,FALSE)</f>
        <v>171.72</v>
      </c>
      <c r="Y38">
        <f>VLOOKUP(CONCATENATE($G38,"-",$F38,"-Couple Only"),'Look-ups'!$Y$4:$AG$35,6,FALSE)</f>
        <v>162.18</v>
      </c>
      <c r="Z38">
        <f>VLOOKUP(CONCATENATE($G38,"-",$F38,"-Couple Only"),'Look-ups'!$Y$4:$AG$35,7,FALSE)</f>
        <v>183.38</v>
      </c>
      <c r="AA38">
        <f>VLOOKUP(CONCATENATE($G38,"-",$F38,"-Couple Only"),'Look-ups'!$Y$4:$AG$35,8,FALSE)</f>
        <v>202.46</v>
      </c>
      <c r="AB38">
        <f>VLOOKUP(CONCATENATE($G38,"-",$F38,"-Couple Only"),'Look-ups'!$Y$4:$AG$35,9,FALSE)</f>
        <v>254.4</v>
      </c>
      <c r="AC38">
        <v>18</v>
      </c>
      <c r="AD38" t="s">
        <v>164</v>
      </c>
      <c r="AE38" s="260">
        <f>VLOOKUP($AD38,'Look-ups'!$A$122:$G$130,5,FALSE)</f>
        <v>0.09143686502177067</v>
      </c>
      <c r="AF38" s="260">
        <f>VLOOKUP($AD38,'Look-ups'!$A$122:$G$130,6,FALSE)</f>
        <v>0.2815674891146589</v>
      </c>
      <c r="AG38" s="260">
        <f>VLOOKUP($AD38,'Look-ups'!$A$122:$G$130,7,FALSE)</f>
        <v>0.6269956458635704</v>
      </c>
      <c r="AH38" s="264">
        <f>VLOOKUP($AC38,'Look-ups'!$A$50:$AO$118,'Look-ups'!$B$133*4,FALSE)*0.277778</f>
        <v>33.38164755508251</v>
      </c>
      <c r="AI38" s="264">
        <f>VLOOKUP($AC38,'Look-ups'!$A$50:$AO$118,'Look-ups'!$B$133*4+1,FALSE)*0.277778</f>
        <v>20.785062444917497</v>
      </c>
      <c r="AJ38" s="264">
        <f>AE38*$AH38/'Look-ups'!$B$141</f>
        <v>3.9899518976449686</v>
      </c>
      <c r="AK38" s="264">
        <f>AF38*$AH38/'Look-ups'!$B$140</f>
        <v>12.875598198075444</v>
      </c>
      <c r="AL38" s="264">
        <f>AG38*$AH38/'Look-ups'!$B$137</f>
        <v>3.9866947940550537</v>
      </c>
      <c r="AM38" s="264">
        <f>AI38/'Look-ups'!$B$136</f>
        <v>4.375802619982631</v>
      </c>
      <c r="AN38" s="263">
        <f>AJ38*VLOOKUP($AD38,'Look-ups'!$A$123:$M$130,10,FALSE)</f>
        <v>1.0828286122219817</v>
      </c>
      <c r="AO38" s="263">
        <f>AK38*VLOOKUP($AD38,'Look-ups'!$A$123:$M$130,9,FALSE)</f>
        <v>1.9859580172675528</v>
      </c>
      <c r="AP38" s="263">
        <f>(AL38+AM38)*VLOOKUP($AD38,'Look-ups'!$A$123:$M$130,8,FALSE)</f>
        <v>2.3790106518307863</v>
      </c>
      <c r="AQ38" s="263">
        <f t="shared" si="0"/>
        <v>5.447797281320321</v>
      </c>
      <c r="AR38" s="265">
        <f>AJ38*VLOOKUP($AD38,'Look-ups'!$A$123:$M$130,11,FALSE)</f>
        <v>0.01723707483592167</v>
      </c>
      <c r="AS38" s="265">
        <f>AK38*VLOOKUP($AD38,'Look-ups'!$A$123:$M$130,12,FALSE)</f>
        <v>2.388593351142412</v>
      </c>
      <c r="AT38" s="265">
        <f>(AL38+AM38)*VLOOKUP($AD38,'Look-ups'!$A$123:$M$130,13,FALSE)</f>
        <v>2.1525068343733</v>
      </c>
      <c r="AU38" s="265">
        <f t="shared" si="1"/>
        <v>4.5583372603516334</v>
      </c>
      <c r="AW38" t="s">
        <v>334</v>
      </c>
    </row>
    <row r="39" spans="1:49" ht="15">
      <c r="A39">
        <v>1035</v>
      </c>
      <c r="B39" t="s">
        <v>334</v>
      </c>
      <c r="C39">
        <v>192.0954</v>
      </c>
      <c r="D39">
        <v>57003</v>
      </c>
      <c r="E39">
        <v>296.7431807320737</v>
      </c>
      <c r="F39" t="s">
        <v>173</v>
      </c>
      <c r="G39" t="s">
        <v>164</v>
      </c>
      <c r="H39">
        <f>VLOOKUP(CONCATENATE($G39,"-",$F39,"-",$H$2),'Look-ups'!$O$3:$S$34,5,FALSE)*VLOOKUP(CONCATENATE($F39,"-",$H$2,"-",H$3),'Look-ups'!$I$3:$M$24,5,FALSE)</f>
        <v>312.66666666666663</v>
      </c>
      <c r="I39">
        <f>VLOOKUP(CONCATENATE($G39,"-",$F39,"-",$H$2),'Look-ups'!$O$3:$S$34,5,FALSE)*VLOOKUP(CONCATENATE($F39,"-",$H$2,"-",I$3),'Look-ups'!$I$3:$M$24,5,FALSE)</f>
        <v>469</v>
      </c>
      <c r="J39">
        <f>VLOOKUP(CONCATENATE($G39,"-",$F39,"-",$H$2),'Look-ups'!$O$3:$S$34,5,FALSE)*VLOOKUP(CONCATENATE($F39,"-",$H$2,"-",J$3),'Look-ups'!$I$3:$M$24,5,FALSE)</f>
        <v>547.1666666666667</v>
      </c>
      <c r="K39">
        <f>VLOOKUP(CONCATENATE($G39,"-",$F39,"-",$H$2),'Look-ups'!$O$3:$S$34,5,FALSE)*VLOOKUP(CONCATENATE($F39,"-",$H$2,"-",K$3),'Look-ups'!$I$3:$M$24,5,FALSE)</f>
        <v>703.5</v>
      </c>
      <c r="L39">
        <f>VLOOKUP(CONCATENATE($G39,"-",$F39,"-",$H$2),'Look-ups'!$O$3:$S$34,5,FALSE)*VLOOKUP(CONCATENATE($F39,"-",$H$2,"-",L$3),'Look-ups'!$I$3:$M$24,5,FALSE)</f>
        <v>781.6666666666667</v>
      </c>
      <c r="M39">
        <f>VLOOKUP(CONCATENATE($G39,"-",$F39,"-",$H$2),'Look-ups'!$O$3:$S$34,5,FALSE)*VLOOKUP(CONCATENATE($F39,"-",$H$2,"-",M$3),'Look-ups'!$I$3:$M$24,5,FALSE)</f>
        <v>859.8333333333333</v>
      </c>
      <c r="N39">
        <f>VLOOKUP(CONCATENATE($G39,"-",$F39,"-",$N$2),'Look-ups'!$O$3:$S$34,5,FALSE)*VLOOKUP(CONCATENATE($F39,"-",$N$2,"-",N$3),'Look-ups'!$I$3:$M$24,5,FALSE)</f>
        <v>312</v>
      </c>
      <c r="O39">
        <f>VLOOKUP(CONCATENATE($G39,"-",$F39,"-",$N$2),'Look-ups'!$O$3:$S$34,5,FALSE)*VLOOKUP(CONCATENATE($F39,"-",$N$2,"-",O$3),'Look-ups'!$I$3:$M$24,5,FALSE)</f>
        <v>312</v>
      </c>
      <c r="P39">
        <f>VLOOKUP(CONCATENATE($G39,"-",$F39,"-",$N$2),'Look-ups'!$O$3:$S$34,5,FALSE)*VLOOKUP(CONCATENATE($F39,"-",$N$2,"-",P$3),'Look-ups'!$I$3:$M$24,5,FALSE)</f>
        <v>416</v>
      </c>
      <c r="Q39">
        <f>VLOOKUP(CONCATENATE($G39,"-",$F39,"-",$N$2),'Look-ups'!$O$3:$S$34,5,FALSE)*VLOOKUP(CONCATENATE($F39,"-",$N$2,"-",Q$3),'Look-ups'!$I$3:$M$24,5,FALSE)</f>
        <v>534.8571428571429</v>
      </c>
      <c r="R39">
        <f>VLOOKUP(CONCATENATE($G39,"-",$F39,"-",$N$2),'Look-ups'!$O$3:$S$34,5,FALSE)*VLOOKUP(CONCATENATE($F39,"-",$N$2,"-",R$3),'Look-ups'!$I$3:$M$24,5,FALSE)</f>
        <v>609.1428571428571</v>
      </c>
      <c r="S39" s="117">
        <f>VLOOKUP(CONCATENATE($G39,"-",$F39,"-Lone Person"),'Look-ups'!$Y$4:$AG$35,5,FALSE)</f>
        <v>106</v>
      </c>
      <c r="T39">
        <f>VLOOKUP(CONCATENATE($G39,"-",$F39,"-Lone Person"),'Look-ups'!$Y$4:$AG$35,6,FALSE)</f>
        <v>151.58</v>
      </c>
      <c r="U39">
        <f>VLOOKUP(CONCATENATE($G39,"-",$F39,"-Lone Person"),'Look-ups'!$Y$4:$AG$35,7,FALSE)</f>
        <v>181.26000000000002</v>
      </c>
      <c r="V39">
        <f>VLOOKUP(CONCATENATE($G39,"-",$F39,"-Lone Person"),'Look-ups'!$Y$4:$AG$35,8,FALSE)</f>
        <v>221.54000000000002</v>
      </c>
      <c r="W39">
        <f>VLOOKUP(CONCATENATE($G39,"-",$F39,"-Lone Person"),'Look-ups'!$Y$4:$AG$35,9,FALSE)</f>
        <v>210.94</v>
      </c>
      <c r="X39" s="117">
        <f>VLOOKUP(CONCATENATE($G39,"-",$F39,"-Couple Only"),'Look-ups'!$Y$4:$AG$35,5,FALSE)</f>
        <v>171.72</v>
      </c>
      <c r="Y39">
        <f>VLOOKUP(CONCATENATE($G39,"-",$F39,"-Couple Only"),'Look-ups'!$Y$4:$AG$35,6,FALSE)</f>
        <v>162.18</v>
      </c>
      <c r="Z39">
        <f>VLOOKUP(CONCATENATE($G39,"-",$F39,"-Couple Only"),'Look-ups'!$Y$4:$AG$35,7,FALSE)</f>
        <v>183.38</v>
      </c>
      <c r="AA39">
        <f>VLOOKUP(CONCATENATE($G39,"-",$F39,"-Couple Only"),'Look-ups'!$Y$4:$AG$35,8,FALSE)</f>
        <v>202.46</v>
      </c>
      <c r="AB39">
        <f>VLOOKUP(CONCATENATE($G39,"-",$F39,"-Couple Only"),'Look-ups'!$Y$4:$AG$35,9,FALSE)</f>
        <v>254.4</v>
      </c>
      <c r="AC39">
        <v>20</v>
      </c>
      <c r="AD39" t="s">
        <v>164</v>
      </c>
      <c r="AE39" s="260">
        <f>VLOOKUP($AD39,'Look-ups'!$A$122:$G$130,5,FALSE)</f>
        <v>0.09143686502177067</v>
      </c>
      <c r="AF39" s="260">
        <f>VLOOKUP($AD39,'Look-ups'!$A$122:$G$130,6,FALSE)</f>
        <v>0.2815674891146589</v>
      </c>
      <c r="AG39" s="260">
        <f>VLOOKUP($AD39,'Look-ups'!$A$122:$G$130,7,FALSE)</f>
        <v>0.6269956458635704</v>
      </c>
      <c r="AH39" s="264">
        <f>VLOOKUP($AC39,'Look-ups'!$A$50:$AO$118,'Look-ups'!$B$133*4,FALSE)*0.277778</f>
        <v>64.30145709159765</v>
      </c>
      <c r="AI39" s="264">
        <f>VLOOKUP($AC39,'Look-ups'!$A$50:$AO$118,'Look-ups'!$B$133*4+1,FALSE)*0.277778</f>
        <v>27.643060908402347</v>
      </c>
      <c r="AJ39" s="264">
        <f>AE39*$AH39/'Look-ups'!$B$141</f>
        <v>7.685651833709274</v>
      </c>
      <c r="AK39" s="264">
        <f>AF39*$AH39/'Look-ups'!$B$140</f>
        <v>24.801643588623467</v>
      </c>
      <c r="AL39" s="264">
        <f>AG39*$AH39/'Look-ups'!$B$137</f>
        <v>7.679377832212367</v>
      </c>
      <c r="AM39" s="264">
        <f>AI39/'Look-ups'!$B$136</f>
        <v>5.819591770189968</v>
      </c>
      <c r="AN39" s="263">
        <f>AJ39*VLOOKUP($AD39,'Look-ups'!$A$123:$M$130,10,FALSE)</f>
        <v>2.085800511537211</v>
      </c>
      <c r="AO39" s="263">
        <f>AK39*VLOOKUP($AD39,'Look-ups'!$A$123:$M$130,9,FALSE)</f>
        <v>3.825455110396461</v>
      </c>
      <c r="AP39" s="263">
        <f>(AL39+AM39)*VLOOKUP($AD39,'Look-ups'!$A$123:$M$130,8,FALSE)</f>
        <v>3.840263366652496</v>
      </c>
      <c r="AQ39" s="263">
        <f t="shared" si="0"/>
        <v>9.751518988586168</v>
      </c>
      <c r="AR39" s="265">
        <f>AJ39*VLOOKUP($AD39,'Look-ups'!$A$123:$M$130,11,FALSE)</f>
        <v>0.033202945604100975</v>
      </c>
      <c r="AS39" s="265">
        <f>AK39*VLOOKUP($AD39,'Look-ups'!$A$123:$M$130,12,FALSE)</f>
        <v>4.601032127737939</v>
      </c>
      <c r="AT39" s="265">
        <f>(AL39+AM39)*VLOOKUP($AD39,'Look-ups'!$A$123:$M$130,13,FALSE)</f>
        <v>3.474634775658361</v>
      </c>
      <c r="AU39" s="265">
        <f t="shared" si="1"/>
        <v>8.108869849000401</v>
      </c>
      <c r="AW39" t="s">
        <v>185</v>
      </c>
    </row>
    <row r="40" spans="1:47" ht="15">
      <c r="A40">
        <v>1036</v>
      </c>
      <c r="B40" t="s">
        <v>185</v>
      </c>
      <c r="C40">
        <v>572.6371</v>
      </c>
      <c r="D40">
        <v>305691</v>
      </c>
      <c r="E40">
        <v>533.8302390816103</v>
      </c>
      <c r="F40" t="s">
        <v>173</v>
      </c>
      <c r="G40" t="s">
        <v>164</v>
      </c>
      <c r="H40">
        <f>VLOOKUP(CONCATENATE($G40,"-",$F40,"-",$H$2),'Look-ups'!$O$3:$S$34,5,FALSE)*VLOOKUP(CONCATENATE($F40,"-",$H$2,"-",H$3),'Look-ups'!$I$3:$M$24,5,FALSE)</f>
        <v>312.66666666666663</v>
      </c>
      <c r="I40">
        <f>VLOOKUP(CONCATENATE($G40,"-",$F40,"-",$H$2),'Look-ups'!$O$3:$S$34,5,FALSE)*VLOOKUP(CONCATENATE($F40,"-",$H$2,"-",I$3),'Look-ups'!$I$3:$M$24,5,FALSE)</f>
        <v>469</v>
      </c>
      <c r="J40">
        <f>VLOOKUP(CONCATENATE($G40,"-",$F40,"-",$H$2),'Look-ups'!$O$3:$S$34,5,FALSE)*VLOOKUP(CONCATENATE($F40,"-",$H$2,"-",J$3),'Look-ups'!$I$3:$M$24,5,FALSE)</f>
        <v>547.1666666666667</v>
      </c>
      <c r="K40">
        <f>VLOOKUP(CONCATENATE($G40,"-",$F40,"-",$H$2),'Look-ups'!$O$3:$S$34,5,FALSE)*VLOOKUP(CONCATENATE($F40,"-",$H$2,"-",K$3),'Look-ups'!$I$3:$M$24,5,FALSE)</f>
        <v>703.5</v>
      </c>
      <c r="L40">
        <f>VLOOKUP(CONCATENATE($G40,"-",$F40,"-",$H$2),'Look-ups'!$O$3:$S$34,5,FALSE)*VLOOKUP(CONCATENATE($F40,"-",$H$2,"-",L$3),'Look-ups'!$I$3:$M$24,5,FALSE)</f>
        <v>781.6666666666667</v>
      </c>
      <c r="M40">
        <f>VLOOKUP(CONCATENATE($G40,"-",$F40,"-",$H$2),'Look-ups'!$O$3:$S$34,5,FALSE)*VLOOKUP(CONCATENATE($F40,"-",$H$2,"-",M$3),'Look-ups'!$I$3:$M$24,5,FALSE)</f>
        <v>859.8333333333333</v>
      </c>
      <c r="N40">
        <f>VLOOKUP(CONCATENATE($G40,"-",$F40,"-",$N$2),'Look-ups'!$O$3:$S$34,5,FALSE)*VLOOKUP(CONCATENATE($F40,"-",$N$2,"-",N$3),'Look-ups'!$I$3:$M$24,5,FALSE)</f>
        <v>312</v>
      </c>
      <c r="O40">
        <f>VLOOKUP(CONCATENATE($G40,"-",$F40,"-",$N$2),'Look-ups'!$O$3:$S$34,5,FALSE)*VLOOKUP(CONCATENATE($F40,"-",$N$2,"-",O$3),'Look-ups'!$I$3:$M$24,5,FALSE)</f>
        <v>312</v>
      </c>
      <c r="P40">
        <f>VLOOKUP(CONCATENATE($G40,"-",$F40,"-",$N$2),'Look-ups'!$O$3:$S$34,5,FALSE)*VLOOKUP(CONCATENATE($F40,"-",$N$2,"-",P$3),'Look-ups'!$I$3:$M$24,5,FALSE)</f>
        <v>416</v>
      </c>
      <c r="Q40">
        <f>VLOOKUP(CONCATENATE($G40,"-",$F40,"-",$N$2),'Look-ups'!$O$3:$S$34,5,FALSE)*VLOOKUP(CONCATENATE($F40,"-",$N$2,"-",Q$3),'Look-ups'!$I$3:$M$24,5,FALSE)</f>
        <v>534.8571428571429</v>
      </c>
      <c r="R40">
        <f>VLOOKUP(CONCATENATE($G40,"-",$F40,"-",$N$2),'Look-ups'!$O$3:$S$34,5,FALSE)*VLOOKUP(CONCATENATE($F40,"-",$N$2,"-",R$3),'Look-ups'!$I$3:$M$24,5,FALSE)</f>
        <v>609.1428571428571</v>
      </c>
      <c r="S40" s="117">
        <f>VLOOKUP(CONCATENATE($G40,"-",$F40,"-Lone Person"),'Look-ups'!$Y$4:$AG$35,5,FALSE)</f>
        <v>106</v>
      </c>
      <c r="T40">
        <f>VLOOKUP(CONCATENATE($G40,"-",$F40,"-Lone Person"),'Look-ups'!$Y$4:$AG$35,6,FALSE)</f>
        <v>151.58</v>
      </c>
      <c r="U40">
        <f>VLOOKUP(CONCATENATE($G40,"-",$F40,"-Lone Person"),'Look-ups'!$Y$4:$AG$35,7,FALSE)</f>
        <v>181.26000000000002</v>
      </c>
      <c r="V40">
        <f>VLOOKUP(CONCATENATE($G40,"-",$F40,"-Lone Person"),'Look-ups'!$Y$4:$AG$35,8,FALSE)</f>
        <v>221.54000000000002</v>
      </c>
      <c r="W40">
        <f>VLOOKUP(CONCATENATE($G40,"-",$F40,"-Lone Person"),'Look-ups'!$Y$4:$AG$35,9,FALSE)</f>
        <v>210.94</v>
      </c>
      <c r="X40" s="117">
        <f>VLOOKUP(CONCATENATE($G40,"-",$F40,"-Couple Only"),'Look-ups'!$Y$4:$AG$35,5,FALSE)</f>
        <v>171.72</v>
      </c>
      <c r="Y40">
        <f>VLOOKUP(CONCATENATE($G40,"-",$F40,"-Couple Only"),'Look-ups'!$Y$4:$AG$35,6,FALSE)</f>
        <v>162.18</v>
      </c>
      <c r="Z40">
        <f>VLOOKUP(CONCATENATE($G40,"-",$F40,"-Couple Only"),'Look-ups'!$Y$4:$AG$35,7,FALSE)</f>
        <v>183.38</v>
      </c>
      <c r="AA40">
        <f>VLOOKUP(CONCATENATE($G40,"-",$F40,"-Couple Only"),'Look-ups'!$Y$4:$AG$35,8,FALSE)</f>
        <v>202.46</v>
      </c>
      <c r="AB40">
        <f>VLOOKUP(CONCATENATE($G40,"-",$F40,"-Couple Only"),'Look-ups'!$Y$4:$AG$35,9,FALSE)</f>
        <v>254.4</v>
      </c>
      <c r="AC40">
        <v>56</v>
      </c>
      <c r="AD40" t="s">
        <v>164</v>
      </c>
      <c r="AE40" s="260">
        <f>VLOOKUP($AD40,'Look-ups'!$A$122:$G$130,5,FALSE)</f>
        <v>0.09143686502177067</v>
      </c>
      <c r="AF40" s="260">
        <f>VLOOKUP($AD40,'Look-ups'!$A$122:$G$130,6,FALSE)</f>
        <v>0.2815674891146589</v>
      </c>
      <c r="AG40" s="260">
        <f>VLOOKUP($AD40,'Look-ups'!$A$122:$G$130,7,FALSE)</f>
        <v>0.6269956458635704</v>
      </c>
      <c r="AH40" s="264">
        <f>VLOOKUP($AC40,'Look-ups'!$A$50:$AO$118,'Look-ups'!$B$133*4,FALSE)*0.277778</f>
        <v>11.17750473529359</v>
      </c>
      <c r="AI40" s="264">
        <f>VLOOKUP($AC40,'Look-ups'!$A$50:$AO$118,'Look-ups'!$B$133*4+1,FALSE)*0.277778</f>
        <v>11.044735264706414</v>
      </c>
      <c r="AJ40" s="264">
        <f>AE40*$AH40/'Look-ups'!$B$141</f>
        <v>1.3359947604722127</v>
      </c>
      <c r="AK40" s="264">
        <f>AF40*$AH40/'Look-ups'!$B$140</f>
        <v>4.311262935457297</v>
      </c>
      <c r="AL40" s="264">
        <f>AG40*$AH40/'Look-ups'!$B$137</f>
        <v>1.33490415250448</v>
      </c>
      <c r="AM40" s="264">
        <f>AI40/'Look-ups'!$B$136</f>
        <v>2.3252074241487186</v>
      </c>
      <c r="AN40" s="263">
        <f>AJ40*VLOOKUP($AD40,'Look-ups'!$A$123:$M$130,10,FALSE)</f>
        <v>0.362574133605931</v>
      </c>
      <c r="AO40" s="263">
        <f>AK40*VLOOKUP($AD40,'Look-ups'!$A$123:$M$130,9,FALSE)</f>
        <v>0.6649778176908044</v>
      </c>
      <c r="AP40" s="263">
        <f>(AL40+AM40)*VLOOKUP($AD40,'Look-ups'!$A$123:$M$130,8,FALSE)</f>
        <v>1.0412492819585695</v>
      </c>
      <c r="AQ40" s="263">
        <f t="shared" si="0"/>
        <v>2.068801233255305</v>
      </c>
      <c r="AR40" s="265">
        <f>AJ40*VLOOKUP($AD40,'Look-ups'!$A$123:$M$130,11,FALSE)</f>
        <v>0.005771658971691166</v>
      </c>
      <c r="AS40" s="265">
        <f>AK40*VLOOKUP($AD40,'Look-ups'!$A$123:$M$130,12,FALSE)</f>
        <v>0.7997961589232621</v>
      </c>
      <c r="AT40" s="265">
        <f>(AL40+AM40)*VLOOKUP($AD40,'Look-ups'!$A$123:$M$130,13,FALSE)</f>
        <v>0.9421127198305334</v>
      </c>
      <c r="AU40" s="265">
        <f t="shared" si="1"/>
        <v>1.7476805377254867</v>
      </c>
    </row>
    <row r="41" spans="1:47" ht="15">
      <c r="A41">
        <v>2000</v>
      </c>
      <c r="B41" t="s">
        <v>335</v>
      </c>
      <c r="C41">
        <v>214524.8145</v>
      </c>
      <c r="D41">
        <v>716050</v>
      </c>
      <c r="E41">
        <v>3.337842298891721</v>
      </c>
      <c r="F41" t="s">
        <v>173</v>
      </c>
      <c r="G41" t="s">
        <v>169</v>
      </c>
      <c r="H41">
        <f>VLOOKUP(CONCATENATE($G41,"-",$F41,"-",$H$2),'Look-ups'!$O$3:$S$34,5,FALSE)*VLOOKUP(CONCATENATE($F41,"-",$H$2,"-",H$3),'Look-ups'!$I$3:$M$24,5,FALSE)</f>
        <v>206</v>
      </c>
      <c r="I41">
        <f>VLOOKUP(CONCATENATE($G41,"-",$F41,"-",$H$2),'Look-ups'!$O$3:$S$34,5,FALSE)*VLOOKUP(CONCATENATE($F41,"-",$H$2,"-",I$3),'Look-ups'!$I$3:$M$24,5,FALSE)</f>
        <v>309</v>
      </c>
      <c r="J41">
        <f>VLOOKUP(CONCATENATE($G41,"-",$F41,"-",$H$2),'Look-ups'!$O$3:$S$34,5,FALSE)*VLOOKUP(CONCATENATE($F41,"-",$H$2,"-",J$3),'Look-ups'!$I$3:$M$24,5,FALSE)</f>
        <v>360.5</v>
      </c>
      <c r="K41">
        <f>VLOOKUP(CONCATENATE($G41,"-",$F41,"-",$H$2),'Look-ups'!$O$3:$S$34,5,FALSE)*VLOOKUP(CONCATENATE($F41,"-",$H$2,"-",K$3),'Look-ups'!$I$3:$M$24,5,FALSE)</f>
        <v>463.5</v>
      </c>
      <c r="L41">
        <f>VLOOKUP(CONCATENATE($G41,"-",$F41,"-",$H$2),'Look-ups'!$O$3:$S$34,5,FALSE)*VLOOKUP(CONCATENATE($F41,"-",$H$2,"-",L$3),'Look-ups'!$I$3:$M$24,5,FALSE)</f>
        <v>515</v>
      </c>
      <c r="M41">
        <f>VLOOKUP(CONCATENATE($G41,"-",$F41,"-",$H$2),'Look-ups'!$O$3:$S$34,5,FALSE)*VLOOKUP(CONCATENATE($F41,"-",$H$2,"-",M$3),'Look-ups'!$I$3:$M$24,5,FALSE)</f>
        <v>566.5</v>
      </c>
      <c r="N41">
        <f>VLOOKUP(CONCATENATE($G41,"-",$F41,"-",$N$2),'Look-ups'!$O$3:$S$34,5,FALSE)*VLOOKUP(CONCATENATE($F41,"-",$N$2,"-",N$3),'Look-ups'!$I$3:$M$24,5,FALSE)</f>
        <v>207.75</v>
      </c>
      <c r="O41">
        <f>VLOOKUP(CONCATENATE($G41,"-",$F41,"-",$N$2),'Look-ups'!$O$3:$S$34,5,FALSE)*VLOOKUP(CONCATENATE($F41,"-",$N$2,"-",O$3),'Look-ups'!$I$3:$M$24,5,FALSE)</f>
        <v>207.75</v>
      </c>
      <c r="P41">
        <f>VLOOKUP(CONCATENATE($G41,"-",$F41,"-",$N$2),'Look-ups'!$O$3:$S$34,5,FALSE)*VLOOKUP(CONCATENATE($F41,"-",$N$2,"-",P$3),'Look-ups'!$I$3:$M$24,5,FALSE)</f>
        <v>277</v>
      </c>
      <c r="Q41">
        <f>VLOOKUP(CONCATENATE($G41,"-",$F41,"-",$N$2),'Look-ups'!$O$3:$S$34,5,FALSE)*VLOOKUP(CONCATENATE($F41,"-",$N$2,"-",Q$3),'Look-ups'!$I$3:$M$24,5,FALSE)</f>
        <v>356.14285714285717</v>
      </c>
      <c r="R41">
        <f>VLOOKUP(CONCATENATE($G41,"-",$F41,"-",$N$2),'Look-ups'!$O$3:$S$34,5,FALSE)*VLOOKUP(CONCATENATE($F41,"-",$N$2,"-",R$3),'Look-ups'!$I$3:$M$24,5,FALSE)</f>
        <v>405.60714285714283</v>
      </c>
      <c r="S41" s="117">
        <f>VLOOKUP(CONCATENATE($G41,"-",$F41,"-Lone Person"),'Look-ups'!$Y$4:$AG$35,5,FALSE)</f>
        <v>93.28</v>
      </c>
      <c r="T41">
        <f>VLOOKUP(CONCATENATE($G41,"-",$F41,"-Lone Person"),'Look-ups'!$Y$4:$AG$35,6,FALSE)</f>
        <v>133.56</v>
      </c>
      <c r="U41">
        <f>VLOOKUP(CONCATENATE($G41,"-",$F41,"-Lone Person"),'Look-ups'!$Y$4:$AG$35,7,FALSE)</f>
        <v>160.06</v>
      </c>
      <c r="V41">
        <f>VLOOKUP(CONCATENATE($G41,"-",$F41,"-Lone Person"),'Look-ups'!$Y$4:$AG$35,8,FALSE)</f>
        <v>196.10000000000002</v>
      </c>
      <c r="W41">
        <f>VLOOKUP(CONCATENATE($G41,"-",$F41,"-Lone Person"),'Look-ups'!$Y$4:$AG$35,9,FALSE)</f>
        <v>186.56</v>
      </c>
      <c r="X41" s="117">
        <f>VLOOKUP(CONCATENATE($G41,"-",$F41,"-Couple Only"),'Look-ups'!$Y$4:$AG$35,5,FALSE)</f>
        <v>151.58</v>
      </c>
      <c r="Y41">
        <f>VLOOKUP(CONCATENATE($G41,"-",$F41,"-Couple Only"),'Look-ups'!$Y$4:$AG$35,6,FALSE)</f>
        <v>143.1</v>
      </c>
      <c r="Z41">
        <f>VLOOKUP(CONCATENATE($G41,"-",$F41,"-Couple Only"),'Look-ups'!$Y$4:$AG$35,7,FALSE)</f>
        <v>162.18</v>
      </c>
      <c r="AA41">
        <f>VLOOKUP(CONCATENATE($G41,"-",$F41,"-Couple Only"),'Look-ups'!$Y$4:$AG$35,8,FALSE)</f>
        <v>179.14000000000001</v>
      </c>
      <c r="AB41">
        <f>VLOOKUP(CONCATENATE($G41,"-",$F41,"-Couple Only"),'Look-ups'!$Y$4:$AG$35,9,FALSE)</f>
        <v>224.72</v>
      </c>
      <c r="AC41">
        <v>60</v>
      </c>
      <c r="AD41" t="s">
        <v>169</v>
      </c>
      <c r="AE41" s="260">
        <f>VLOOKUP($AD41,'Look-ups'!$A$122:$G$130,5,FALSE)</f>
        <v>0.08278508771929824</v>
      </c>
      <c r="AF41" s="260">
        <f>VLOOKUP($AD41,'Look-ups'!$A$122:$G$130,6,FALSE)</f>
        <v>0.6069078947368421</v>
      </c>
      <c r="AG41" s="260">
        <f>VLOOKUP($AD41,'Look-ups'!$A$122:$G$130,7,FALSE)</f>
        <v>0.31030701754385964</v>
      </c>
      <c r="AH41" s="264">
        <f>VLOOKUP($AC41,'Look-ups'!$A$50:$AO$118,'Look-ups'!$B$133*4,FALSE)*0.277778</f>
        <v>64.50516409073796</v>
      </c>
      <c r="AI41" s="264">
        <f>VLOOKUP($AC41,'Look-ups'!$A$50:$AO$118,'Look-ups'!$B$133*4+1,FALSE)*0.277778</f>
        <v>12.994897909262034</v>
      </c>
      <c r="AJ41" s="264">
        <f>AE41*$AH41/'Look-ups'!$B$141</f>
        <v>6.980477996862052</v>
      </c>
      <c r="AK41" s="264">
        <f>AF41*$AH41/'Look-ups'!$B$140</f>
        <v>53.6283470383073</v>
      </c>
      <c r="AL41" s="264">
        <f>AG41*$AH41/'Look-ups'!$B$137</f>
        <v>3.812648587652223</v>
      </c>
      <c r="AM41" s="264">
        <f>AI41/'Look-ups'!$B$136</f>
        <v>2.7357679808972706</v>
      </c>
      <c r="AN41" s="263">
        <f>AJ41*VLOOKUP($AD41,'Look-ups'!$A$123:$M$130,10,FALSE)</f>
        <v>1.8944241674817288</v>
      </c>
      <c r="AO41" s="263">
        <f>AK41*VLOOKUP($AD41,'Look-ups'!$A$123:$M$130,9,FALSE)</f>
        <v>6.184053243220765</v>
      </c>
      <c r="AP41" s="263">
        <f>(AL41+AM41)*VLOOKUP($AD41,'Look-ups'!$A$123:$M$130,8,FALSE)</f>
        <v>1.4434423931247882</v>
      </c>
      <c r="AQ41" s="263">
        <f t="shared" si="0"/>
        <v>9.521919803827283</v>
      </c>
      <c r="AR41" s="265">
        <f>AJ41*VLOOKUP($AD41,'Look-ups'!$A$123:$M$130,11,FALSE)</f>
        <v>0.030156509328705266</v>
      </c>
      <c r="AS41" s="265">
        <f>AK41*VLOOKUP($AD41,'Look-ups'!$A$123:$M$130,12,FALSE)</f>
        <v>9.94876596782941</v>
      </c>
      <c r="AT41" s="265">
        <f>(AL41+AM41)*VLOOKUP($AD41,'Look-ups'!$A$123:$M$130,13,FALSE)</f>
        <v>1.6056717426083358</v>
      </c>
      <c r="AU41" s="265">
        <f t="shared" si="1"/>
        <v>11.584594219766451</v>
      </c>
    </row>
    <row r="42" spans="1:47" ht="15">
      <c r="A42">
        <v>2001</v>
      </c>
      <c r="B42" t="s">
        <v>336</v>
      </c>
      <c r="C42">
        <v>196.2983</v>
      </c>
      <c r="D42">
        <v>24717</v>
      </c>
      <c r="E42">
        <v>125.9155071643514</v>
      </c>
      <c r="F42" t="s">
        <v>173</v>
      </c>
      <c r="G42" t="s">
        <v>169</v>
      </c>
      <c r="H42">
        <f>VLOOKUP(CONCATENATE($G42,"-",$F42,"-",$H$2),'Look-ups'!$O$3:$S$34,5,FALSE)*VLOOKUP(CONCATENATE($F42,"-",$H$2,"-",H$3),'Look-ups'!$I$3:$M$24,5,FALSE)</f>
        <v>206</v>
      </c>
      <c r="I42">
        <f>VLOOKUP(CONCATENATE($G42,"-",$F42,"-",$H$2),'Look-ups'!$O$3:$S$34,5,FALSE)*VLOOKUP(CONCATENATE($F42,"-",$H$2,"-",I$3),'Look-ups'!$I$3:$M$24,5,FALSE)</f>
        <v>309</v>
      </c>
      <c r="J42">
        <f>VLOOKUP(CONCATENATE($G42,"-",$F42,"-",$H$2),'Look-ups'!$O$3:$S$34,5,FALSE)*VLOOKUP(CONCATENATE($F42,"-",$H$2,"-",J$3),'Look-ups'!$I$3:$M$24,5,FALSE)</f>
        <v>360.5</v>
      </c>
      <c r="K42">
        <f>VLOOKUP(CONCATENATE($G42,"-",$F42,"-",$H$2),'Look-ups'!$O$3:$S$34,5,FALSE)*VLOOKUP(CONCATENATE($F42,"-",$H$2,"-",K$3),'Look-ups'!$I$3:$M$24,5,FALSE)</f>
        <v>463.5</v>
      </c>
      <c r="L42">
        <f>VLOOKUP(CONCATENATE($G42,"-",$F42,"-",$H$2),'Look-ups'!$O$3:$S$34,5,FALSE)*VLOOKUP(CONCATENATE($F42,"-",$H$2,"-",L$3),'Look-ups'!$I$3:$M$24,5,FALSE)</f>
        <v>515</v>
      </c>
      <c r="M42">
        <f>VLOOKUP(CONCATENATE($G42,"-",$F42,"-",$H$2),'Look-ups'!$O$3:$S$34,5,FALSE)*VLOOKUP(CONCATENATE($F42,"-",$H$2,"-",M$3),'Look-ups'!$I$3:$M$24,5,FALSE)</f>
        <v>566.5</v>
      </c>
      <c r="N42">
        <f>VLOOKUP(CONCATENATE($G42,"-",$F42,"-",$N$2),'Look-ups'!$O$3:$S$34,5,FALSE)*VLOOKUP(CONCATENATE($F42,"-",$N$2,"-",N$3),'Look-ups'!$I$3:$M$24,5,FALSE)</f>
        <v>207.75</v>
      </c>
      <c r="O42">
        <f>VLOOKUP(CONCATENATE($G42,"-",$F42,"-",$N$2),'Look-ups'!$O$3:$S$34,5,FALSE)*VLOOKUP(CONCATENATE($F42,"-",$N$2,"-",O$3),'Look-ups'!$I$3:$M$24,5,FALSE)</f>
        <v>207.75</v>
      </c>
      <c r="P42">
        <f>VLOOKUP(CONCATENATE($G42,"-",$F42,"-",$N$2),'Look-ups'!$O$3:$S$34,5,FALSE)*VLOOKUP(CONCATENATE($F42,"-",$N$2,"-",P$3),'Look-ups'!$I$3:$M$24,5,FALSE)</f>
        <v>277</v>
      </c>
      <c r="Q42">
        <f>VLOOKUP(CONCATENATE($G42,"-",$F42,"-",$N$2),'Look-ups'!$O$3:$S$34,5,FALSE)*VLOOKUP(CONCATENATE($F42,"-",$N$2,"-",Q$3),'Look-ups'!$I$3:$M$24,5,FALSE)</f>
        <v>356.14285714285717</v>
      </c>
      <c r="R42">
        <f>VLOOKUP(CONCATENATE($G42,"-",$F42,"-",$N$2),'Look-ups'!$O$3:$S$34,5,FALSE)*VLOOKUP(CONCATENATE($F42,"-",$N$2,"-",R$3),'Look-ups'!$I$3:$M$24,5,FALSE)</f>
        <v>405.60714285714283</v>
      </c>
      <c r="S42" s="117">
        <f>VLOOKUP(CONCATENATE($G42,"-",$F42,"-Lone Person"),'Look-ups'!$Y$4:$AG$35,5,FALSE)</f>
        <v>93.28</v>
      </c>
      <c r="T42">
        <f>VLOOKUP(CONCATENATE($G42,"-",$F42,"-Lone Person"),'Look-ups'!$Y$4:$AG$35,6,FALSE)</f>
        <v>133.56</v>
      </c>
      <c r="U42">
        <f>VLOOKUP(CONCATENATE($G42,"-",$F42,"-Lone Person"),'Look-ups'!$Y$4:$AG$35,7,FALSE)</f>
        <v>160.06</v>
      </c>
      <c r="V42">
        <f>VLOOKUP(CONCATENATE($G42,"-",$F42,"-Lone Person"),'Look-ups'!$Y$4:$AG$35,8,FALSE)</f>
        <v>196.10000000000002</v>
      </c>
      <c r="W42">
        <f>VLOOKUP(CONCATENATE($G42,"-",$F42,"-Lone Person"),'Look-ups'!$Y$4:$AG$35,9,FALSE)</f>
        <v>186.56</v>
      </c>
      <c r="X42" s="117">
        <f>VLOOKUP(CONCATENATE($G42,"-",$F42,"-Couple Only"),'Look-ups'!$Y$4:$AG$35,5,FALSE)</f>
        <v>151.58</v>
      </c>
      <c r="Y42">
        <f>VLOOKUP(CONCATENATE($G42,"-",$F42,"-Couple Only"),'Look-ups'!$Y$4:$AG$35,6,FALSE)</f>
        <v>143.1</v>
      </c>
      <c r="Z42">
        <f>VLOOKUP(CONCATENATE($G42,"-",$F42,"-Couple Only"),'Look-ups'!$Y$4:$AG$35,7,FALSE)</f>
        <v>162.18</v>
      </c>
      <c r="AA42">
        <f>VLOOKUP(CONCATENATE($G42,"-",$F42,"-Couple Only"),'Look-ups'!$Y$4:$AG$35,8,FALSE)</f>
        <v>179.14000000000001</v>
      </c>
      <c r="AB42">
        <f>VLOOKUP(CONCATENATE($G42,"-",$F42,"-Couple Only"),'Look-ups'!$Y$4:$AG$35,9,FALSE)</f>
        <v>224.72</v>
      </c>
      <c r="AC42">
        <v>66</v>
      </c>
      <c r="AD42" t="s">
        <v>169</v>
      </c>
      <c r="AE42" s="260">
        <f>VLOOKUP($AD42,'Look-ups'!$A$122:$G$130,5,FALSE)</f>
        <v>0.08278508771929824</v>
      </c>
      <c r="AF42" s="260">
        <f>VLOOKUP($AD42,'Look-ups'!$A$122:$G$130,6,FALSE)</f>
        <v>0.6069078947368421</v>
      </c>
      <c r="AG42" s="260">
        <f>VLOOKUP($AD42,'Look-ups'!$A$122:$G$130,7,FALSE)</f>
        <v>0.31030701754385964</v>
      </c>
      <c r="AH42" s="264">
        <f>VLOOKUP($AC42,'Look-ups'!$A$50:$AO$118,'Look-ups'!$B$133*4,FALSE)*0.277778</f>
        <v>110.9588722922091</v>
      </c>
      <c r="AI42" s="264">
        <f>VLOOKUP($AC42,'Look-ups'!$A$50:$AO$118,'Look-ups'!$B$133*4+1,FALSE)*0.277778</f>
        <v>12.930115707790923</v>
      </c>
      <c r="AJ42" s="264">
        <f>AE42*$AH42/'Look-ups'!$B$141</f>
        <v>12.007503236529336</v>
      </c>
      <c r="AK42" s="264">
        <f>AF42*$AH42/'Look-ups'!$B$140</f>
        <v>92.24906244553253</v>
      </c>
      <c r="AL42" s="264">
        <f>AG42*$AH42/'Look-ups'!$B$137</f>
        <v>6.55834604400484</v>
      </c>
      <c r="AM42" s="264">
        <f>AI42/'Look-ups'!$B$136</f>
        <v>2.722129622692826</v>
      </c>
      <c r="AN42" s="263">
        <f>AJ42*VLOOKUP($AD42,'Look-ups'!$A$123:$M$130,10,FALSE)</f>
        <v>3.258702961691433</v>
      </c>
      <c r="AO42" s="263">
        <f>AK42*VLOOKUP($AD42,'Look-ups'!$A$123:$M$130,9,FALSE)</f>
        <v>10.637529316219188</v>
      </c>
      <c r="AP42" s="263">
        <f>(AL42+AM42)*VLOOKUP($AD42,'Look-ups'!$A$123:$M$130,8,FALSE)</f>
        <v>2.0456597202461855</v>
      </c>
      <c r="AQ42" s="263">
        <f t="shared" si="0"/>
        <v>15.941891998156807</v>
      </c>
      <c r="AR42" s="265">
        <f>AJ42*VLOOKUP($AD42,'Look-ups'!$A$123:$M$130,11,FALSE)</f>
        <v>0.051873866450067335</v>
      </c>
      <c r="AS42" s="265">
        <f>AK42*VLOOKUP($AD42,'Look-ups'!$A$123:$M$130,12,FALSE)</f>
        <v>17.113418251856903</v>
      </c>
      <c r="AT42" s="265">
        <f>(AL42+AM42)*VLOOKUP($AD42,'Look-ups'!$A$123:$M$130,13,FALSE)</f>
        <v>2.2755726334742676</v>
      </c>
      <c r="AU42" s="265">
        <f t="shared" si="1"/>
        <v>19.440864751781238</v>
      </c>
    </row>
    <row r="43" spans="1:47" ht="15">
      <c r="A43">
        <v>2002</v>
      </c>
      <c r="B43" t="s">
        <v>337</v>
      </c>
      <c r="C43">
        <v>155.0115</v>
      </c>
      <c r="D43">
        <v>15684</v>
      </c>
      <c r="E43">
        <v>101.17958990139441</v>
      </c>
      <c r="F43" t="s">
        <v>173</v>
      </c>
      <c r="G43" t="s">
        <v>169</v>
      </c>
      <c r="H43">
        <f>VLOOKUP(CONCATENATE($G43,"-",$F43,"-",$H$2),'Look-ups'!$O$3:$S$34,5,FALSE)*VLOOKUP(CONCATENATE($F43,"-",$H$2,"-",H$3),'Look-ups'!$I$3:$M$24,5,FALSE)</f>
        <v>206</v>
      </c>
      <c r="I43">
        <f>VLOOKUP(CONCATENATE($G43,"-",$F43,"-",$H$2),'Look-ups'!$O$3:$S$34,5,FALSE)*VLOOKUP(CONCATENATE($F43,"-",$H$2,"-",I$3),'Look-ups'!$I$3:$M$24,5,FALSE)</f>
        <v>309</v>
      </c>
      <c r="J43">
        <f>VLOOKUP(CONCATENATE($G43,"-",$F43,"-",$H$2),'Look-ups'!$O$3:$S$34,5,FALSE)*VLOOKUP(CONCATENATE($F43,"-",$H$2,"-",J$3),'Look-ups'!$I$3:$M$24,5,FALSE)</f>
        <v>360.5</v>
      </c>
      <c r="K43">
        <f>VLOOKUP(CONCATENATE($G43,"-",$F43,"-",$H$2),'Look-ups'!$O$3:$S$34,5,FALSE)*VLOOKUP(CONCATENATE($F43,"-",$H$2,"-",K$3),'Look-ups'!$I$3:$M$24,5,FALSE)</f>
        <v>463.5</v>
      </c>
      <c r="L43">
        <f>VLOOKUP(CONCATENATE($G43,"-",$F43,"-",$H$2),'Look-ups'!$O$3:$S$34,5,FALSE)*VLOOKUP(CONCATENATE($F43,"-",$H$2,"-",L$3),'Look-ups'!$I$3:$M$24,5,FALSE)</f>
        <v>515</v>
      </c>
      <c r="M43">
        <f>VLOOKUP(CONCATENATE($G43,"-",$F43,"-",$H$2),'Look-ups'!$O$3:$S$34,5,FALSE)*VLOOKUP(CONCATENATE($F43,"-",$H$2,"-",M$3),'Look-ups'!$I$3:$M$24,5,FALSE)</f>
        <v>566.5</v>
      </c>
      <c r="N43">
        <f>VLOOKUP(CONCATENATE($G43,"-",$F43,"-",$N$2),'Look-ups'!$O$3:$S$34,5,FALSE)*VLOOKUP(CONCATENATE($F43,"-",$N$2,"-",N$3),'Look-ups'!$I$3:$M$24,5,FALSE)</f>
        <v>207.75</v>
      </c>
      <c r="O43">
        <f>VLOOKUP(CONCATENATE($G43,"-",$F43,"-",$N$2),'Look-ups'!$O$3:$S$34,5,FALSE)*VLOOKUP(CONCATENATE($F43,"-",$N$2,"-",O$3),'Look-ups'!$I$3:$M$24,5,FALSE)</f>
        <v>207.75</v>
      </c>
      <c r="P43">
        <f>VLOOKUP(CONCATENATE($G43,"-",$F43,"-",$N$2),'Look-ups'!$O$3:$S$34,5,FALSE)*VLOOKUP(CONCATENATE($F43,"-",$N$2,"-",P$3),'Look-ups'!$I$3:$M$24,5,FALSE)</f>
        <v>277</v>
      </c>
      <c r="Q43">
        <f>VLOOKUP(CONCATENATE($G43,"-",$F43,"-",$N$2),'Look-ups'!$O$3:$S$34,5,FALSE)*VLOOKUP(CONCATENATE($F43,"-",$N$2,"-",Q$3),'Look-ups'!$I$3:$M$24,5,FALSE)</f>
        <v>356.14285714285717</v>
      </c>
      <c r="R43">
        <f>VLOOKUP(CONCATENATE($G43,"-",$F43,"-",$N$2),'Look-ups'!$O$3:$S$34,5,FALSE)*VLOOKUP(CONCATENATE($F43,"-",$N$2,"-",R$3),'Look-ups'!$I$3:$M$24,5,FALSE)</f>
        <v>405.60714285714283</v>
      </c>
      <c r="S43" s="117">
        <f>VLOOKUP(CONCATENATE($G43,"-",$F43,"-Lone Person"),'Look-ups'!$Y$4:$AG$35,5,FALSE)</f>
        <v>93.28</v>
      </c>
      <c r="T43">
        <f>VLOOKUP(CONCATENATE($G43,"-",$F43,"-Lone Person"),'Look-ups'!$Y$4:$AG$35,6,FALSE)</f>
        <v>133.56</v>
      </c>
      <c r="U43">
        <f>VLOOKUP(CONCATENATE($G43,"-",$F43,"-Lone Person"),'Look-ups'!$Y$4:$AG$35,7,FALSE)</f>
        <v>160.06</v>
      </c>
      <c r="V43">
        <f>VLOOKUP(CONCATENATE($G43,"-",$F43,"-Lone Person"),'Look-ups'!$Y$4:$AG$35,8,FALSE)</f>
        <v>196.10000000000002</v>
      </c>
      <c r="W43">
        <f>VLOOKUP(CONCATENATE($G43,"-",$F43,"-Lone Person"),'Look-ups'!$Y$4:$AG$35,9,FALSE)</f>
        <v>186.56</v>
      </c>
      <c r="X43" s="117">
        <f>VLOOKUP(CONCATENATE($G43,"-",$F43,"-Couple Only"),'Look-ups'!$Y$4:$AG$35,5,FALSE)</f>
        <v>151.58</v>
      </c>
      <c r="Y43">
        <f>VLOOKUP(CONCATENATE($G43,"-",$F43,"-Couple Only"),'Look-ups'!$Y$4:$AG$35,6,FALSE)</f>
        <v>143.1</v>
      </c>
      <c r="Z43">
        <f>VLOOKUP(CONCATENATE($G43,"-",$F43,"-Couple Only"),'Look-ups'!$Y$4:$AG$35,7,FALSE)</f>
        <v>162.18</v>
      </c>
      <c r="AA43">
        <f>VLOOKUP(CONCATENATE($G43,"-",$F43,"-Couple Only"),'Look-ups'!$Y$4:$AG$35,8,FALSE)</f>
        <v>179.14000000000001</v>
      </c>
      <c r="AB43">
        <f>VLOOKUP(CONCATENATE($G43,"-",$F43,"-Couple Only"),'Look-ups'!$Y$4:$AG$35,9,FALSE)</f>
        <v>224.72</v>
      </c>
      <c r="AC43">
        <v>22</v>
      </c>
      <c r="AD43" t="s">
        <v>169</v>
      </c>
      <c r="AE43" s="260">
        <f>VLOOKUP($AD43,'Look-ups'!$A$122:$G$130,5,FALSE)</f>
        <v>0.08278508771929824</v>
      </c>
      <c r="AF43" s="260">
        <f>VLOOKUP($AD43,'Look-ups'!$A$122:$G$130,6,FALSE)</f>
        <v>0.6069078947368421</v>
      </c>
      <c r="AG43" s="260">
        <f>VLOOKUP($AD43,'Look-ups'!$A$122:$G$130,7,FALSE)</f>
        <v>0.31030701754385964</v>
      </c>
      <c r="AH43" s="264">
        <f>VLOOKUP($AC43,'Look-ups'!$A$50:$AO$118,'Look-ups'!$B$133*4,FALSE)*0.277778</f>
        <v>77.05949414422209</v>
      </c>
      <c r="AI43" s="264">
        <f>VLOOKUP($AC43,'Look-ups'!$A$50:$AO$118,'Look-ups'!$B$133*4+1,FALSE)*0.277778</f>
        <v>9.051685855777936</v>
      </c>
      <c r="AJ43" s="264">
        <f>AE43*$AH43/'Look-ups'!$B$141</f>
        <v>8.339054878868204</v>
      </c>
      <c r="AK43" s="264">
        <f>AF43*$AH43/'Look-ups'!$B$140</f>
        <v>64.06577446651485</v>
      </c>
      <c r="AL43" s="264">
        <f>AG43*$AH43/'Look-ups'!$B$137</f>
        <v>4.554686057396585</v>
      </c>
      <c r="AM43" s="264">
        <f>AI43/'Look-ups'!$B$136</f>
        <v>1.9056180749006182</v>
      </c>
      <c r="AN43" s="263">
        <f>AJ43*VLOOKUP($AD43,'Look-ups'!$A$123:$M$130,10,FALSE)</f>
        <v>2.2631268379595095</v>
      </c>
      <c r="AO43" s="263">
        <f>AK43*VLOOKUP($AD43,'Look-ups'!$A$123:$M$130,9,FALSE)</f>
        <v>7.3876258033107245</v>
      </c>
      <c r="AP43" s="263">
        <f>(AL43+AM43)*VLOOKUP($AD43,'Look-ups'!$A$123:$M$130,8,FALSE)</f>
        <v>1.4240201061464517</v>
      </c>
      <c r="AQ43" s="263">
        <f t="shared" si="0"/>
        <v>11.074772747416686</v>
      </c>
      <c r="AR43" s="265">
        <f>AJ43*VLOOKUP($AD43,'Look-ups'!$A$123:$M$130,11,FALSE)</f>
        <v>0.036025725797032955</v>
      </c>
      <c r="AS43" s="265">
        <f>AK43*VLOOKUP($AD43,'Look-ups'!$A$123:$M$130,12,FALSE)</f>
        <v>11.885046471035427</v>
      </c>
      <c r="AT43" s="265">
        <f>(AL43+AM43)*VLOOKUP($AD43,'Look-ups'!$A$123:$M$130,13,FALSE)</f>
        <v>1.5840665732392742</v>
      </c>
      <c r="AU43" s="265">
        <f t="shared" si="1"/>
        <v>13.505138770071735</v>
      </c>
    </row>
    <row r="44" spans="1:47" ht="15">
      <c r="A44">
        <v>2003</v>
      </c>
      <c r="B44" t="s">
        <v>197</v>
      </c>
      <c r="C44">
        <v>343.6213</v>
      </c>
      <c r="D44">
        <v>111973</v>
      </c>
      <c r="E44">
        <v>325.86163896126345</v>
      </c>
      <c r="F44" t="s">
        <v>173</v>
      </c>
      <c r="G44" t="s">
        <v>169</v>
      </c>
      <c r="H44">
        <f>VLOOKUP(CONCATENATE($G44,"-",$F44,"-",$H$2),'Look-ups'!$O$3:$S$34,5,FALSE)*VLOOKUP(CONCATENATE($F44,"-",$H$2,"-",H$3),'Look-ups'!$I$3:$M$24,5,FALSE)</f>
        <v>206</v>
      </c>
      <c r="I44">
        <f>VLOOKUP(CONCATENATE($G44,"-",$F44,"-",$H$2),'Look-ups'!$O$3:$S$34,5,FALSE)*VLOOKUP(CONCATENATE($F44,"-",$H$2,"-",I$3),'Look-ups'!$I$3:$M$24,5,FALSE)</f>
        <v>309</v>
      </c>
      <c r="J44">
        <f>VLOOKUP(CONCATENATE($G44,"-",$F44,"-",$H$2),'Look-ups'!$O$3:$S$34,5,FALSE)*VLOOKUP(CONCATENATE($F44,"-",$H$2,"-",J$3),'Look-ups'!$I$3:$M$24,5,FALSE)</f>
        <v>360.5</v>
      </c>
      <c r="K44">
        <f>VLOOKUP(CONCATENATE($G44,"-",$F44,"-",$H$2),'Look-ups'!$O$3:$S$34,5,FALSE)*VLOOKUP(CONCATENATE($F44,"-",$H$2,"-",K$3),'Look-ups'!$I$3:$M$24,5,FALSE)</f>
        <v>463.5</v>
      </c>
      <c r="L44">
        <f>VLOOKUP(CONCATENATE($G44,"-",$F44,"-",$H$2),'Look-ups'!$O$3:$S$34,5,FALSE)*VLOOKUP(CONCATENATE($F44,"-",$H$2,"-",L$3),'Look-ups'!$I$3:$M$24,5,FALSE)</f>
        <v>515</v>
      </c>
      <c r="M44">
        <f>VLOOKUP(CONCATENATE($G44,"-",$F44,"-",$H$2),'Look-ups'!$O$3:$S$34,5,FALSE)*VLOOKUP(CONCATENATE($F44,"-",$H$2,"-",M$3),'Look-ups'!$I$3:$M$24,5,FALSE)</f>
        <v>566.5</v>
      </c>
      <c r="N44">
        <f>VLOOKUP(CONCATENATE($G44,"-",$F44,"-",$N$2),'Look-ups'!$O$3:$S$34,5,FALSE)*VLOOKUP(CONCATENATE($F44,"-",$N$2,"-",N$3),'Look-ups'!$I$3:$M$24,5,FALSE)</f>
        <v>207.75</v>
      </c>
      <c r="O44">
        <f>VLOOKUP(CONCATENATE($G44,"-",$F44,"-",$N$2),'Look-ups'!$O$3:$S$34,5,FALSE)*VLOOKUP(CONCATENATE($F44,"-",$N$2,"-",O$3),'Look-ups'!$I$3:$M$24,5,FALSE)</f>
        <v>207.75</v>
      </c>
      <c r="P44">
        <f>VLOOKUP(CONCATENATE($G44,"-",$F44,"-",$N$2),'Look-ups'!$O$3:$S$34,5,FALSE)*VLOOKUP(CONCATENATE($F44,"-",$N$2,"-",P$3),'Look-ups'!$I$3:$M$24,5,FALSE)</f>
        <v>277</v>
      </c>
      <c r="Q44">
        <f>VLOOKUP(CONCATENATE($G44,"-",$F44,"-",$N$2),'Look-ups'!$O$3:$S$34,5,FALSE)*VLOOKUP(CONCATENATE($F44,"-",$N$2,"-",Q$3),'Look-ups'!$I$3:$M$24,5,FALSE)</f>
        <v>356.14285714285717</v>
      </c>
      <c r="R44">
        <f>VLOOKUP(CONCATENATE($G44,"-",$F44,"-",$N$2),'Look-ups'!$O$3:$S$34,5,FALSE)*VLOOKUP(CONCATENATE($F44,"-",$N$2,"-",R$3),'Look-ups'!$I$3:$M$24,5,FALSE)</f>
        <v>405.60714285714283</v>
      </c>
      <c r="S44" s="117">
        <f>VLOOKUP(CONCATENATE($G44,"-",$F44,"-Lone Person"),'Look-ups'!$Y$4:$AG$35,5,FALSE)</f>
        <v>93.28</v>
      </c>
      <c r="T44">
        <f>VLOOKUP(CONCATENATE($G44,"-",$F44,"-Lone Person"),'Look-ups'!$Y$4:$AG$35,6,FALSE)</f>
        <v>133.56</v>
      </c>
      <c r="U44">
        <f>VLOOKUP(CONCATENATE($G44,"-",$F44,"-Lone Person"),'Look-ups'!$Y$4:$AG$35,7,FALSE)</f>
        <v>160.06</v>
      </c>
      <c r="V44">
        <f>VLOOKUP(CONCATENATE($G44,"-",$F44,"-Lone Person"),'Look-ups'!$Y$4:$AG$35,8,FALSE)</f>
        <v>196.10000000000002</v>
      </c>
      <c r="W44">
        <f>VLOOKUP(CONCATENATE($G44,"-",$F44,"-Lone Person"),'Look-ups'!$Y$4:$AG$35,9,FALSE)</f>
        <v>186.56</v>
      </c>
      <c r="X44" s="117">
        <f>VLOOKUP(CONCATENATE($G44,"-",$F44,"-Couple Only"),'Look-ups'!$Y$4:$AG$35,5,FALSE)</f>
        <v>151.58</v>
      </c>
      <c r="Y44">
        <f>VLOOKUP(CONCATENATE($G44,"-",$F44,"-Couple Only"),'Look-ups'!$Y$4:$AG$35,6,FALSE)</f>
        <v>143.1</v>
      </c>
      <c r="Z44">
        <f>VLOOKUP(CONCATENATE($G44,"-",$F44,"-Couple Only"),'Look-ups'!$Y$4:$AG$35,7,FALSE)</f>
        <v>162.18</v>
      </c>
      <c r="AA44">
        <f>VLOOKUP(CONCATENATE($G44,"-",$F44,"-Couple Only"),'Look-ups'!$Y$4:$AG$35,8,FALSE)</f>
        <v>179.14000000000001</v>
      </c>
      <c r="AB44">
        <f>VLOOKUP(CONCATENATE($G44,"-",$F44,"-Couple Only"),'Look-ups'!$Y$4:$AG$35,9,FALSE)</f>
        <v>224.72</v>
      </c>
      <c r="AC44">
        <v>66</v>
      </c>
      <c r="AD44" t="s">
        <v>169</v>
      </c>
      <c r="AE44" s="260">
        <f>VLOOKUP($AD44,'Look-ups'!$A$122:$G$130,5,FALSE)</f>
        <v>0.08278508771929824</v>
      </c>
      <c r="AF44" s="260">
        <f>VLOOKUP($AD44,'Look-ups'!$A$122:$G$130,6,FALSE)</f>
        <v>0.6069078947368421</v>
      </c>
      <c r="AG44" s="260">
        <f>VLOOKUP($AD44,'Look-ups'!$A$122:$G$130,7,FALSE)</f>
        <v>0.31030701754385964</v>
      </c>
      <c r="AH44" s="264">
        <f>VLOOKUP($AC44,'Look-ups'!$A$50:$AO$118,'Look-ups'!$B$133*4,FALSE)*0.277778</f>
        <v>110.9588722922091</v>
      </c>
      <c r="AI44" s="264">
        <f>VLOOKUP($AC44,'Look-ups'!$A$50:$AO$118,'Look-ups'!$B$133*4+1,FALSE)*0.277778</f>
        <v>12.930115707790923</v>
      </c>
      <c r="AJ44" s="264">
        <f>AE44*$AH44/'Look-ups'!$B$141</f>
        <v>12.007503236529336</v>
      </c>
      <c r="AK44" s="264">
        <f>AF44*$AH44/'Look-ups'!$B$140</f>
        <v>92.24906244553253</v>
      </c>
      <c r="AL44" s="264">
        <f>AG44*$AH44/'Look-ups'!$B$137</f>
        <v>6.55834604400484</v>
      </c>
      <c r="AM44" s="264">
        <f>AI44/'Look-ups'!$B$136</f>
        <v>2.722129622692826</v>
      </c>
      <c r="AN44" s="263">
        <f>AJ44*VLOOKUP($AD44,'Look-ups'!$A$123:$M$130,10,FALSE)</f>
        <v>3.258702961691433</v>
      </c>
      <c r="AO44" s="263">
        <f>AK44*VLOOKUP($AD44,'Look-ups'!$A$123:$M$130,9,FALSE)</f>
        <v>10.637529316219188</v>
      </c>
      <c r="AP44" s="263">
        <f>(AL44+AM44)*VLOOKUP($AD44,'Look-ups'!$A$123:$M$130,8,FALSE)</f>
        <v>2.0456597202461855</v>
      </c>
      <c r="AQ44" s="263">
        <f t="shared" si="0"/>
        <v>15.941891998156807</v>
      </c>
      <c r="AR44" s="265">
        <f>AJ44*VLOOKUP($AD44,'Look-ups'!$A$123:$M$130,11,FALSE)</f>
        <v>0.051873866450067335</v>
      </c>
      <c r="AS44" s="265">
        <f>AK44*VLOOKUP($AD44,'Look-ups'!$A$123:$M$130,12,FALSE)</f>
        <v>17.113418251856903</v>
      </c>
      <c r="AT44" s="265">
        <f>(AL44+AM44)*VLOOKUP($AD44,'Look-ups'!$A$123:$M$130,13,FALSE)</f>
        <v>2.2755726334742676</v>
      </c>
      <c r="AU44" s="265">
        <f t="shared" si="1"/>
        <v>19.440864751781238</v>
      </c>
    </row>
    <row r="45" spans="1:47" ht="15">
      <c r="A45">
        <v>2004</v>
      </c>
      <c r="B45" t="s">
        <v>338</v>
      </c>
      <c r="C45">
        <v>287.443699999999</v>
      </c>
      <c r="D45">
        <v>103034</v>
      </c>
      <c r="E45">
        <v>358.4493241633069</v>
      </c>
      <c r="F45" t="s">
        <v>173</v>
      </c>
      <c r="G45" t="s">
        <v>169</v>
      </c>
      <c r="H45">
        <f>VLOOKUP(CONCATENATE($G45,"-",$F45,"-",$H$2),'Look-ups'!$O$3:$S$34,5,FALSE)*VLOOKUP(CONCATENATE($F45,"-",$H$2,"-",H$3),'Look-ups'!$I$3:$M$24,5,FALSE)</f>
        <v>206</v>
      </c>
      <c r="I45">
        <f>VLOOKUP(CONCATENATE($G45,"-",$F45,"-",$H$2),'Look-ups'!$O$3:$S$34,5,FALSE)*VLOOKUP(CONCATENATE($F45,"-",$H$2,"-",I$3),'Look-ups'!$I$3:$M$24,5,FALSE)</f>
        <v>309</v>
      </c>
      <c r="J45">
        <f>VLOOKUP(CONCATENATE($G45,"-",$F45,"-",$H$2),'Look-ups'!$O$3:$S$34,5,FALSE)*VLOOKUP(CONCATENATE($F45,"-",$H$2,"-",J$3),'Look-ups'!$I$3:$M$24,5,FALSE)</f>
        <v>360.5</v>
      </c>
      <c r="K45">
        <f>VLOOKUP(CONCATENATE($G45,"-",$F45,"-",$H$2),'Look-ups'!$O$3:$S$34,5,FALSE)*VLOOKUP(CONCATENATE($F45,"-",$H$2,"-",K$3),'Look-ups'!$I$3:$M$24,5,FALSE)</f>
        <v>463.5</v>
      </c>
      <c r="L45">
        <f>VLOOKUP(CONCATENATE($G45,"-",$F45,"-",$H$2),'Look-ups'!$O$3:$S$34,5,FALSE)*VLOOKUP(CONCATENATE($F45,"-",$H$2,"-",L$3),'Look-ups'!$I$3:$M$24,5,FALSE)</f>
        <v>515</v>
      </c>
      <c r="M45">
        <f>VLOOKUP(CONCATENATE($G45,"-",$F45,"-",$H$2),'Look-ups'!$O$3:$S$34,5,FALSE)*VLOOKUP(CONCATENATE($F45,"-",$H$2,"-",M$3),'Look-ups'!$I$3:$M$24,5,FALSE)</f>
        <v>566.5</v>
      </c>
      <c r="N45">
        <f>VLOOKUP(CONCATENATE($G45,"-",$F45,"-",$N$2),'Look-ups'!$O$3:$S$34,5,FALSE)*VLOOKUP(CONCATENATE($F45,"-",$N$2,"-",N$3),'Look-ups'!$I$3:$M$24,5,FALSE)</f>
        <v>207.75</v>
      </c>
      <c r="O45">
        <f>VLOOKUP(CONCATENATE($G45,"-",$F45,"-",$N$2),'Look-ups'!$O$3:$S$34,5,FALSE)*VLOOKUP(CONCATENATE($F45,"-",$N$2,"-",O$3),'Look-ups'!$I$3:$M$24,5,FALSE)</f>
        <v>207.75</v>
      </c>
      <c r="P45">
        <f>VLOOKUP(CONCATENATE($G45,"-",$F45,"-",$N$2),'Look-ups'!$O$3:$S$34,5,FALSE)*VLOOKUP(CONCATENATE($F45,"-",$N$2,"-",P$3),'Look-ups'!$I$3:$M$24,5,FALSE)</f>
        <v>277</v>
      </c>
      <c r="Q45">
        <f>VLOOKUP(CONCATENATE($G45,"-",$F45,"-",$N$2),'Look-ups'!$O$3:$S$34,5,FALSE)*VLOOKUP(CONCATENATE($F45,"-",$N$2,"-",Q$3),'Look-ups'!$I$3:$M$24,5,FALSE)</f>
        <v>356.14285714285717</v>
      </c>
      <c r="R45">
        <f>VLOOKUP(CONCATENATE($G45,"-",$F45,"-",$N$2),'Look-ups'!$O$3:$S$34,5,FALSE)*VLOOKUP(CONCATENATE($F45,"-",$N$2,"-",R$3),'Look-ups'!$I$3:$M$24,5,FALSE)</f>
        <v>405.60714285714283</v>
      </c>
      <c r="S45" s="117">
        <f>VLOOKUP(CONCATENATE($G45,"-",$F45,"-Lone Person"),'Look-ups'!$Y$4:$AG$35,5,FALSE)</f>
        <v>93.28</v>
      </c>
      <c r="T45">
        <f>VLOOKUP(CONCATENATE($G45,"-",$F45,"-Lone Person"),'Look-ups'!$Y$4:$AG$35,6,FALSE)</f>
        <v>133.56</v>
      </c>
      <c r="U45">
        <f>VLOOKUP(CONCATENATE($G45,"-",$F45,"-Lone Person"),'Look-ups'!$Y$4:$AG$35,7,FALSE)</f>
        <v>160.06</v>
      </c>
      <c r="V45">
        <f>VLOOKUP(CONCATENATE($G45,"-",$F45,"-Lone Person"),'Look-ups'!$Y$4:$AG$35,8,FALSE)</f>
        <v>196.10000000000002</v>
      </c>
      <c r="W45">
        <f>VLOOKUP(CONCATENATE($G45,"-",$F45,"-Lone Person"),'Look-ups'!$Y$4:$AG$35,9,FALSE)</f>
        <v>186.56</v>
      </c>
      <c r="X45" s="117">
        <f>VLOOKUP(CONCATENATE($G45,"-",$F45,"-Couple Only"),'Look-ups'!$Y$4:$AG$35,5,FALSE)</f>
        <v>151.58</v>
      </c>
      <c r="Y45">
        <f>VLOOKUP(CONCATENATE($G45,"-",$F45,"-Couple Only"),'Look-ups'!$Y$4:$AG$35,6,FALSE)</f>
        <v>143.1</v>
      </c>
      <c r="Z45">
        <f>VLOOKUP(CONCATENATE($G45,"-",$F45,"-Couple Only"),'Look-ups'!$Y$4:$AG$35,7,FALSE)</f>
        <v>162.18</v>
      </c>
      <c r="AA45">
        <f>VLOOKUP(CONCATENATE($G45,"-",$F45,"-Couple Only"),'Look-ups'!$Y$4:$AG$35,8,FALSE)</f>
        <v>179.14000000000001</v>
      </c>
      <c r="AB45">
        <f>VLOOKUP(CONCATENATE($G45,"-",$F45,"-Couple Only"),'Look-ups'!$Y$4:$AG$35,9,FALSE)</f>
        <v>224.72</v>
      </c>
      <c r="AC45">
        <v>66</v>
      </c>
      <c r="AD45" t="s">
        <v>169</v>
      </c>
      <c r="AE45" s="260">
        <f>VLOOKUP($AD45,'Look-ups'!$A$122:$G$130,5,FALSE)</f>
        <v>0.08278508771929824</v>
      </c>
      <c r="AF45" s="260">
        <f>VLOOKUP($AD45,'Look-ups'!$A$122:$G$130,6,FALSE)</f>
        <v>0.6069078947368421</v>
      </c>
      <c r="AG45" s="260">
        <f>VLOOKUP($AD45,'Look-ups'!$A$122:$G$130,7,FALSE)</f>
        <v>0.31030701754385964</v>
      </c>
      <c r="AH45" s="264">
        <f>VLOOKUP($AC45,'Look-ups'!$A$50:$AO$118,'Look-ups'!$B$133*4,FALSE)*0.277778</f>
        <v>110.9588722922091</v>
      </c>
      <c r="AI45" s="264">
        <f>VLOOKUP($AC45,'Look-ups'!$A$50:$AO$118,'Look-ups'!$B$133*4+1,FALSE)*0.277778</f>
        <v>12.930115707790923</v>
      </c>
      <c r="AJ45" s="264">
        <f>AE45*$AH45/'Look-ups'!$B$141</f>
        <v>12.007503236529336</v>
      </c>
      <c r="AK45" s="264">
        <f>AF45*$AH45/'Look-ups'!$B$140</f>
        <v>92.24906244553253</v>
      </c>
      <c r="AL45" s="264">
        <f>AG45*$AH45/'Look-ups'!$B$137</f>
        <v>6.55834604400484</v>
      </c>
      <c r="AM45" s="264">
        <f>AI45/'Look-ups'!$B$136</f>
        <v>2.722129622692826</v>
      </c>
      <c r="AN45" s="263">
        <f>AJ45*VLOOKUP($AD45,'Look-ups'!$A$123:$M$130,10,FALSE)</f>
        <v>3.258702961691433</v>
      </c>
      <c r="AO45" s="263">
        <f>AK45*VLOOKUP($AD45,'Look-ups'!$A$123:$M$130,9,FALSE)</f>
        <v>10.637529316219188</v>
      </c>
      <c r="AP45" s="263">
        <f>(AL45+AM45)*VLOOKUP($AD45,'Look-ups'!$A$123:$M$130,8,FALSE)</f>
        <v>2.0456597202461855</v>
      </c>
      <c r="AQ45" s="263">
        <f t="shared" si="0"/>
        <v>15.941891998156807</v>
      </c>
      <c r="AR45" s="265">
        <f>AJ45*VLOOKUP($AD45,'Look-ups'!$A$123:$M$130,11,FALSE)</f>
        <v>0.051873866450067335</v>
      </c>
      <c r="AS45" s="265">
        <f>AK45*VLOOKUP($AD45,'Look-ups'!$A$123:$M$130,12,FALSE)</f>
        <v>17.113418251856903</v>
      </c>
      <c r="AT45" s="265">
        <f>(AL45+AM45)*VLOOKUP($AD45,'Look-ups'!$A$123:$M$130,13,FALSE)</f>
        <v>2.2755726334742676</v>
      </c>
      <c r="AU45" s="265">
        <f t="shared" si="1"/>
        <v>19.440864751781238</v>
      </c>
    </row>
    <row r="46" spans="1:47" ht="15">
      <c r="A46">
        <v>2005</v>
      </c>
      <c r="B46" t="s">
        <v>585</v>
      </c>
      <c r="C46">
        <v>83.9291</v>
      </c>
      <c r="D46">
        <v>11352</v>
      </c>
      <c r="E46">
        <v>135.2570205089772</v>
      </c>
      <c r="F46" t="s">
        <v>173</v>
      </c>
      <c r="G46" t="s">
        <v>169</v>
      </c>
      <c r="H46">
        <f>VLOOKUP(CONCATENATE($G46,"-",$F46,"-",$H$2),'Look-ups'!$O$3:$S$34,5,FALSE)*VLOOKUP(CONCATENATE($F46,"-",$H$2,"-",H$3),'Look-ups'!$I$3:$M$24,5,FALSE)</f>
        <v>206</v>
      </c>
      <c r="I46">
        <f>VLOOKUP(CONCATENATE($G46,"-",$F46,"-",$H$2),'Look-ups'!$O$3:$S$34,5,FALSE)*VLOOKUP(CONCATENATE($F46,"-",$H$2,"-",I$3),'Look-ups'!$I$3:$M$24,5,FALSE)</f>
        <v>309</v>
      </c>
      <c r="J46">
        <f>VLOOKUP(CONCATENATE($G46,"-",$F46,"-",$H$2),'Look-ups'!$O$3:$S$34,5,FALSE)*VLOOKUP(CONCATENATE($F46,"-",$H$2,"-",J$3),'Look-ups'!$I$3:$M$24,5,FALSE)</f>
        <v>360.5</v>
      </c>
      <c r="K46">
        <f>VLOOKUP(CONCATENATE($G46,"-",$F46,"-",$H$2),'Look-ups'!$O$3:$S$34,5,FALSE)*VLOOKUP(CONCATENATE($F46,"-",$H$2,"-",K$3),'Look-ups'!$I$3:$M$24,5,FALSE)</f>
        <v>463.5</v>
      </c>
      <c r="L46">
        <f>VLOOKUP(CONCATENATE($G46,"-",$F46,"-",$H$2),'Look-ups'!$O$3:$S$34,5,FALSE)*VLOOKUP(CONCATENATE($F46,"-",$H$2,"-",L$3),'Look-ups'!$I$3:$M$24,5,FALSE)</f>
        <v>515</v>
      </c>
      <c r="M46">
        <f>VLOOKUP(CONCATENATE($G46,"-",$F46,"-",$H$2),'Look-ups'!$O$3:$S$34,5,FALSE)*VLOOKUP(CONCATENATE($F46,"-",$H$2,"-",M$3),'Look-ups'!$I$3:$M$24,5,FALSE)</f>
        <v>566.5</v>
      </c>
      <c r="N46">
        <f>VLOOKUP(CONCATENATE($G46,"-",$F46,"-",$N$2),'Look-ups'!$O$3:$S$34,5,FALSE)*VLOOKUP(CONCATENATE($F46,"-",$N$2,"-",N$3),'Look-ups'!$I$3:$M$24,5,FALSE)</f>
        <v>207.75</v>
      </c>
      <c r="O46">
        <f>VLOOKUP(CONCATENATE($G46,"-",$F46,"-",$N$2),'Look-ups'!$O$3:$S$34,5,FALSE)*VLOOKUP(CONCATENATE($F46,"-",$N$2,"-",O$3),'Look-ups'!$I$3:$M$24,5,FALSE)</f>
        <v>207.75</v>
      </c>
      <c r="P46">
        <f>VLOOKUP(CONCATENATE($G46,"-",$F46,"-",$N$2),'Look-ups'!$O$3:$S$34,5,FALSE)*VLOOKUP(CONCATENATE($F46,"-",$N$2,"-",P$3),'Look-ups'!$I$3:$M$24,5,FALSE)</f>
        <v>277</v>
      </c>
      <c r="Q46">
        <f>VLOOKUP(CONCATENATE($G46,"-",$F46,"-",$N$2),'Look-ups'!$O$3:$S$34,5,FALSE)*VLOOKUP(CONCATENATE($F46,"-",$N$2,"-",Q$3),'Look-ups'!$I$3:$M$24,5,FALSE)</f>
        <v>356.14285714285717</v>
      </c>
      <c r="R46">
        <f>VLOOKUP(CONCATENATE($G46,"-",$F46,"-",$N$2),'Look-ups'!$O$3:$S$34,5,FALSE)*VLOOKUP(CONCATENATE($F46,"-",$N$2,"-",R$3),'Look-ups'!$I$3:$M$24,5,FALSE)</f>
        <v>405.60714285714283</v>
      </c>
      <c r="S46" s="117">
        <f>VLOOKUP(CONCATENATE($G46,"-",$F46,"-Lone Person"),'Look-ups'!$Y$4:$AG$35,5,FALSE)</f>
        <v>93.28</v>
      </c>
      <c r="T46">
        <f>VLOOKUP(CONCATENATE($G46,"-",$F46,"-Lone Person"),'Look-ups'!$Y$4:$AG$35,6,FALSE)</f>
        <v>133.56</v>
      </c>
      <c r="U46">
        <f>VLOOKUP(CONCATENATE($G46,"-",$F46,"-Lone Person"),'Look-ups'!$Y$4:$AG$35,7,FALSE)</f>
        <v>160.06</v>
      </c>
      <c r="V46">
        <f>VLOOKUP(CONCATENATE($G46,"-",$F46,"-Lone Person"),'Look-ups'!$Y$4:$AG$35,8,FALSE)</f>
        <v>196.10000000000002</v>
      </c>
      <c r="W46">
        <f>VLOOKUP(CONCATENATE($G46,"-",$F46,"-Lone Person"),'Look-ups'!$Y$4:$AG$35,9,FALSE)</f>
        <v>186.56</v>
      </c>
      <c r="X46" s="117">
        <f>VLOOKUP(CONCATENATE($G46,"-",$F46,"-Couple Only"),'Look-ups'!$Y$4:$AG$35,5,FALSE)</f>
        <v>151.58</v>
      </c>
      <c r="Y46">
        <f>VLOOKUP(CONCATENATE($G46,"-",$F46,"-Couple Only"),'Look-ups'!$Y$4:$AG$35,6,FALSE)</f>
        <v>143.1</v>
      </c>
      <c r="Z46">
        <f>VLOOKUP(CONCATENATE($G46,"-",$F46,"-Couple Only"),'Look-ups'!$Y$4:$AG$35,7,FALSE)</f>
        <v>162.18</v>
      </c>
      <c r="AA46">
        <f>VLOOKUP(CONCATENATE($G46,"-",$F46,"-Couple Only"),'Look-ups'!$Y$4:$AG$35,8,FALSE)</f>
        <v>179.14000000000001</v>
      </c>
      <c r="AB46">
        <f>VLOOKUP(CONCATENATE($G46,"-",$F46,"-Couple Only"),'Look-ups'!$Y$4:$AG$35,9,FALSE)</f>
        <v>224.72</v>
      </c>
      <c r="AC46">
        <v>66</v>
      </c>
      <c r="AD46" t="s">
        <v>169</v>
      </c>
      <c r="AE46" s="260">
        <f>VLOOKUP($AD46,'Look-ups'!$A$122:$G$130,5,FALSE)</f>
        <v>0.08278508771929824</v>
      </c>
      <c r="AF46" s="260">
        <f>VLOOKUP($AD46,'Look-ups'!$A$122:$G$130,6,FALSE)</f>
        <v>0.6069078947368421</v>
      </c>
      <c r="AG46" s="260">
        <f>VLOOKUP($AD46,'Look-ups'!$A$122:$G$130,7,FALSE)</f>
        <v>0.31030701754385964</v>
      </c>
      <c r="AH46" s="264">
        <f>VLOOKUP($AC46,'Look-ups'!$A$50:$AO$118,'Look-ups'!$B$133*4,FALSE)*0.277778</f>
        <v>110.9588722922091</v>
      </c>
      <c r="AI46" s="264">
        <f>VLOOKUP($AC46,'Look-ups'!$A$50:$AO$118,'Look-ups'!$B$133*4+1,FALSE)*0.277778</f>
        <v>12.930115707790923</v>
      </c>
      <c r="AJ46" s="264">
        <f>AE46*$AH46/'Look-ups'!$B$141</f>
        <v>12.007503236529336</v>
      </c>
      <c r="AK46" s="264">
        <f>AF46*$AH46/'Look-ups'!$B$140</f>
        <v>92.24906244553253</v>
      </c>
      <c r="AL46" s="264">
        <f>AG46*$AH46/'Look-ups'!$B$137</f>
        <v>6.55834604400484</v>
      </c>
      <c r="AM46" s="264">
        <f>AI46/'Look-ups'!$B$136</f>
        <v>2.722129622692826</v>
      </c>
      <c r="AN46" s="263">
        <f>AJ46*VLOOKUP($AD46,'Look-ups'!$A$123:$M$130,10,FALSE)</f>
        <v>3.258702961691433</v>
      </c>
      <c r="AO46" s="263">
        <f>AK46*VLOOKUP($AD46,'Look-ups'!$A$123:$M$130,9,FALSE)</f>
        <v>10.637529316219188</v>
      </c>
      <c r="AP46" s="263">
        <f>(AL46+AM46)*VLOOKUP($AD46,'Look-ups'!$A$123:$M$130,8,FALSE)</f>
        <v>2.0456597202461855</v>
      </c>
      <c r="AQ46" s="263">
        <f t="shared" si="0"/>
        <v>15.941891998156807</v>
      </c>
      <c r="AR46" s="265">
        <f>AJ46*VLOOKUP($AD46,'Look-ups'!$A$123:$M$130,11,FALSE)</f>
        <v>0.051873866450067335</v>
      </c>
      <c r="AS46" s="265">
        <f>AK46*VLOOKUP($AD46,'Look-ups'!$A$123:$M$130,12,FALSE)</f>
        <v>17.113418251856903</v>
      </c>
      <c r="AT46" s="265">
        <f>(AL46+AM46)*VLOOKUP($AD46,'Look-ups'!$A$123:$M$130,13,FALSE)</f>
        <v>2.2755726334742676</v>
      </c>
      <c r="AU46" s="265">
        <f t="shared" si="1"/>
        <v>19.440864751781238</v>
      </c>
    </row>
    <row r="47" spans="1:47" ht="15">
      <c r="A47">
        <v>2006</v>
      </c>
      <c r="B47" t="s">
        <v>339</v>
      </c>
      <c r="C47">
        <v>54.7344</v>
      </c>
      <c r="D47">
        <v>12756</v>
      </c>
      <c r="E47">
        <v>233.05270542839602</v>
      </c>
      <c r="F47" t="s">
        <v>173</v>
      </c>
      <c r="G47" t="s">
        <v>169</v>
      </c>
      <c r="H47">
        <f>VLOOKUP(CONCATENATE($G47,"-",$F47,"-",$H$2),'Look-ups'!$O$3:$S$34,5,FALSE)*VLOOKUP(CONCATENATE($F47,"-",$H$2,"-",H$3),'Look-ups'!$I$3:$M$24,5,FALSE)</f>
        <v>206</v>
      </c>
      <c r="I47">
        <f>VLOOKUP(CONCATENATE($G47,"-",$F47,"-",$H$2),'Look-ups'!$O$3:$S$34,5,FALSE)*VLOOKUP(CONCATENATE($F47,"-",$H$2,"-",I$3),'Look-ups'!$I$3:$M$24,5,FALSE)</f>
        <v>309</v>
      </c>
      <c r="J47">
        <f>VLOOKUP(CONCATENATE($G47,"-",$F47,"-",$H$2),'Look-ups'!$O$3:$S$34,5,FALSE)*VLOOKUP(CONCATENATE($F47,"-",$H$2,"-",J$3),'Look-ups'!$I$3:$M$24,5,FALSE)</f>
        <v>360.5</v>
      </c>
      <c r="K47">
        <f>VLOOKUP(CONCATENATE($G47,"-",$F47,"-",$H$2),'Look-ups'!$O$3:$S$34,5,FALSE)*VLOOKUP(CONCATENATE($F47,"-",$H$2,"-",K$3),'Look-ups'!$I$3:$M$24,5,FALSE)</f>
        <v>463.5</v>
      </c>
      <c r="L47">
        <f>VLOOKUP(CONCATENATE($G47,"-",$F47,"-",$H$2),'Look-ups'!$O$3:$S$34,5,FALSE)*VLOOKUP(CONCATENATE($F47,"-",$H$2,"-",L$3),'Look-ups'!$I$3:$M$24,5,FALSE)</f>
        <v>515</v>
      </c>
      <c r="M47">
        <f>VLOOKUP(CONCATENATE($G47,"-",$F47,"-",$H$2),'Look-ups'!$O$3:$S$34,5,FALSE)*VLOOKUP(CONCATENATE($F47,"-",$H$2,"-",M$3),'Look-ups'!$I$3:$M$24,5,FALSE)</f>
        <v>566.5</v>
      </c>
      <c r="N47">
        <f>VLOOKUP(CONCATENATE($G47,"-",$F47,"-",$N$2),'Look-ups'!$O$3:$S$34,5,FALSE)*VLOOKUP(CONCATENATE($F47,"-",$N$2,"-",N$3),'Look-ups'!$I$3:$M$24,5,FALSE)</f>
        <v>207.75</v>
      </c>
      <c r="O47">
        <f>VLOOKUP(CONCATENATE($G47,"-",$F47,"-",$N$2),'Look-ups'!$O$3:$S$34,5,FALSE)*VLOOKUP(CONCATENATE($F47,"-",$N$2,"-",O$3),'Look-ups'!$I$3:$M$24,5,FALSE)</f>
        <v>207.75</v>
      </c>
      <c r="P47">
        <f>VLOOKUP(CONCATENATE($G47,"-",$F47,"-",$N$2),'Look-ups'!$O$3:$S$34,5,FALSE)*VLOOKUP(CONCATENATE($F47,"-",$N$2,"-",P$3),'Look-ups'!$I$3:$M$24,5,FALSE)</f>
        <v>277</v>
      </c>
      <c r="Q47">
        <f>VLOOKUP(CONCATENATE($G47,"-",$F47,"-",$N$2),'Look-ups'!$O$3:$S$34,5,FALSE)*VLOOKUP(CONCATENATE($F47,"-",$N$2,"-",Q$3),'Look-ups'!$I$3:$M$24,5,FALSE)</f>
        <v>356.14285714285717</v>
      </c>
      <c r="R47">
        <f>VLOOKUP(CONCATENATE($G47,"-",$F47,"-",$N$2),'Look-ups'!$O$3:$S$34,5,FALSE)*VLOOKUP(CONCATENATE($F47,"-",$N$2,"-",R$3),'Look-ups'!$I$3:$M$24,5,FALSE)</f>
        <v>405.60714285714283</v>
      </c>
      <c r="S47" s="117">
        <f>VLOOKUP(CONCATENATE($G47,"-",$F47,"-Lone Person"),'Look-ups'!$Y$4:$AG$35,5,FALSE)</f>
        <v>93.28</v>
      </c>
      <c r="T47">
        <f>VLOOKUP(CONCATENATE($G47,"-",$F47,"-Lone Person"),'Look-ups'!$Y$4:$AG$35,6,FALSE)</f>
        <v>133.56</v>
      </c>
      <c r="U47">
        <f>VLOOKUP(CONCATENATE($G47,"-",$F47,"-Lone Person"),'Look-ups'!$Y$4:$AG$35,7,FALSE)</f>
        <v>160.06</v>
      </c>
      <c r="V47">
        <f>VLOOKUP(CONCATENATE($G47,"-",$F47,"-Lone Person"),'Look-ups'!$Y$4:$AG$35,8,FALSE)</f>
        <v>196.10000000000002</v>
      </c>
      <c r="W47">
        <f>VLOOKUP(CONCATENATE($G47,"-",$F47,"-Lone Person"),'Look-ups'!$Y$4:$AG$35,9,FALSE)</f>
        <v>186.56</v>
      </c>
      <c r="X47" s="117">
        <f>VLOOKUP(CONCATENATE($G47,"-",$F47,"-Couple Only"),'Look-ups'!$Y$4:$AG$35,5,FALSE)</f>
        <v>151.58</v>
      </c>
      <c r="Y47">
        <f>VLOOKUP(CONCATENATE($G47,"-",$F47,"-Couple Only"),'Look-ups'!$Y$4:$AG$35,6,FALSE)</f>
        <v>143.1</v>
      </c>
      <c r="Z47">
        <f>VLOOKUP(CONCATENATE($G47,"-",$F47,"-Couple Only"),'Look-ups'!$Y$4:$AG$35,7,FALSE)</f>
        <v>162.18</v>
      </c>
      <c r="AA47">
        <f>VLOOKUP(CONCATENATE($G47,"-",$F47,"-Couple Only"),'Look-ups'!$Y$4:$AG$35,8,FALSE)</f>
        <v>179.14000000000001</v>
      </c>
      <c r="AB47">
        <f>VLOOKUP(CONCATENATE($G47,"-",$F47,"-Couple Only"),'Look-ups'!$Y$4:$AG$35,9,FALSE)</f>
        <v>224.72</v>
      </c>
      <c r="AC47">
        <v>64</v>
      </c>
      <c r="AD47" t="s">
        <v>169</v>
      </c>
      <c r="AE47" s="260">
        <f>VLOOKUP($AD47,'Look-ups'!$A$122:$G$130,5,FALSE)</f>
        <v>0.08278508771929824</v>
      </c>
      <c r="AF47" s="260">
        <f>VLOOKUP($AD47,'Look-ups'!$A$122:$G$130,6,FALSE)</f>
        <v>0.6069078947368421</v>
      </c>
      <c r="AG47" s="260">
        <f>VLOOKUP($AD47,'Look-ups'!$A$122:$G$130,7,FALSE)</f>
        <v>0.31030701754385964</v>
      </c>
      <c r="AH47" s="264">
        <f>VLOOKUP($AC47,'Look-ups'!$A$50:$AO$118,'Look-ups'!$B$133*4,FALSE)*0.277778</f>
        <v>72.25718467308177</v>
      </c>
      <c r="AI47" s="264">
        <f>VLOOKUP($AC47,'Look-ups'!$A$50:$AO$118,'Look-ups'!$B$133*4+1,FALSE)*0.277778</f>
        <v>6.909545326918231</v>
      </c>
      <c r="AJ47" s="264">
        <f>AE47*$AH47/'Look-ups'!$B$141</f>
        <v>7.819369113085761</v>
      </c>
      <c r="AK47" s="264">
        <f>AF47*$AH47/'Look-ups'!$B$140</f>
        <v>60.07322716376887</v>
      </c>
      <c r="AL47" s="264">
        <f>AG47*$AH47/'Look-ups'!$B$137</f>
        <v>4.270840280384741</v>
      </c>
      <c r="AM47" s="264">
        <f>AI47/'Look-ups'!$B$136</f>
        <v>1.4546411214564696</v>
      </c>
      <c r="AN47" s="263">
        <f>AJ47*VLOOKUP($AD47,'Look-ups'!$A$123:$M$130,10,FALSE)</f>
        <v>2.122089895412441</v>
      </c>
      <c r="AO47" s="263">
        <f>AK47*VLOOKUP($AD47,'Look-ups'!$A$123:$M$130,9,FALSE)</f>
        <v>6.927232625825277</v>
      </c>
      <c r="AP47" s="263">
        <f>(AL47+AM47)*VLOOKUP($AD47,'Look-ups'!$A$123:$M$130,8,FALSE)</f>
        <v>1.262045944993348</v>
      </c>
      <c r="AQ47" s="263">
        <f t="shared" si="0"/>
        <v>10.311368466231066</v>
      </c>
      <c r="AR47" s="265">
        <f>AJ47*VLOOKUP($AD47,'Look-ups'!$A$123:$M$130,11,FALSE)</f>
        <v>0.033780620425902415</v>
      </c>
      <c r="AS47" s="265">
        <f>AK47*VLOOKUP($AD47,'Look-ups'!$A$123:$M$130,12,FALSE)</f>
        <v>11.14437626723192</v>
      </c>
      <c r="AT47" s="265">
        <f>(AL47+AM47)*VLOOKUP($AD47,'Look-ups'!$A$123:$M$130,13,FALSE)</f>
        <v>1.4038880397314648</v>
      </c>
      <c r="AU47" s="265">
        <f t="shared" si="1"/>
        <v>12.582044927389287</v>
      </c>
    </row>
    <row r="48" spans="1:47" ht="15">
      <c r="A48">
        <v>2007</v>
      </c>
      <c r="B48" t="s">
        <v>340</v>
      </c>
      <c r="C48">
        <v>350.959999999999</v>
      </c>
      <c r="D48">
        <v>22568</v>
      </c>
      <c r="E48">
        <v>64.30362434465484</v>
      </c>
      <c r="F48" t="s">
        <v>173</v>
      </c>
      <c r="G48" t="s">
        <v>169</v>
      </c>
      <c r="H48">
        <f>VLOOKUP(CONCATENATE($G48,"-",$F48,"-",$H$2),'Look-ups'!$O$3:$S$34,5,FALSE)*VLOOKUP(CONCATENATE($F48,"-",$H$2,"-",H$3),'Look-ups'!$I$3:$M$24,5,FALSE)</f>
        <v>206</v>
      </c>
      <c r="I48">
        <f>VLOOKUP(CONCATENATE($G48,"-",$F48,"-",$H$2),'Look-ups'!$O$3:$S$34,5,FALSE)*VLOOKUP(CONCATENATE($F48,"-",$H$2,"-",I$3),'Look-ups'!$I$3:$M$24,5,FALSE)</f>
        <v>309</v>
      </c>
      <c r="J48">
        <f>VLOOKUP(CONCATENATE($G48,"-",$F48,"-",$H$2),'Look-ups'!$O$3:$S$34,5,FALSE)*VLOOKUP(CONCATENATE($F48,"-",$H$2,"-",J$3),'Look-ups'!$I$3:$M$24,5,FALSE)</f>
        <v>360.5</v>
      </c>
      <c r="K48">
        <f>VLOOKUP(CONCATENATE($G48,"-",$F48,"-",$H$2),'Look-ups'!$O$3:$S$34,5,FALSE)*VLOOKUP(CONCATENATE($F48,"-",$H$2,"-",K$3),'Look-ups'!$I$3:$M$24,5,FALSE)</f>
        <v>463.5</v>
      </c>
      <c r="L48">
        <f>VLOOKUP(CONCATENATE($G48,"-",$F48,"-",$H$2),'Look-ups'!$O$3:$S$34,5,FALSE)*VLOOKUP(CONCATENATE($F48,"-",$H$2,"-",L$3),'Look-ups'!$I$3:$M$24,5,FALSE)</f>
        <v>515</v>
      </c>
      <c r="M48">
        <f>VLOOKUP(CONCATENATE($G48,"-",$F48,"-",$H$2),'Look-ups'!$O$3:$S$34,5,FALSE)*VLOOKUP(CONCATENATE($F48,"-",$H$2,"-",M$3),'Look-ups'!$I$3:$M$24,5,FALSE)</f>
        <v>566.5</v>
      </c>
      <c r="N48">
        <f>VLOOKUP(CONCATENATE($G48,"-",$F48,"-",$N$2),'Look-ups'!$O$3:$S$34,5,FALSE)*VLOOKUP(CONCATENATE($F48,"-",$N$2,"-",N$3),'Look-ups'!$I$3:$M$24,5,FALSE)</f>
        <v>207.75</v>
      </c>
      <c r="O48">
        <f>VLOOKUP(CONCATENATE($G48,"-",$F48,"-",$N$2),'Look-ups'!$O$3:$S$34,5,FALSE)*VLOOKUP(CONCATENATE($F48,"-",$N$2,"-",O$3),'Look-ups'!$I$3:$M$24,5,FALSE)</f>
        <v>207.75</v>
      </c>
      <c r="P48">
        <f>VLOOKUP(CONCATENATE($G48,"-",$F48,"-",$N$2),'Look-ups'!$O$3:$S$34,5,FALSE)*VLOOKUP(CONCATENATE($F48,"-",$N$2,"-",P$3),'Look-ups'!$I$3:$M$24,5,FALSE)</f>
        <v>277</v>
      </c>
      <c r="Q48">
        <f>VLOOKUP(CONCATENATE($G48,"-",$F48,"-",$N$2),'Look-ups'!$O$3:$S$34,5,FALSE)*VLOOKUP(CONCATENATE($F48,"-",$N$2,"-",Q$3),'Look-ups'!$I$3:$M$24,5,FALSE)</f>
        <v>356.14285714285717</v>
      </c>
      <c r="R48">
        <f>VLOOKUP(CONCATENATE($G48,"-",$F48,"-",$N$2),'Look-ups'!$O$3:$S$34,5,FALSE)*VLOOKUP(CONCATENATE($F48,"-",$N$2,"-",R$3),'Look-ups'!$I$3:$M$24,5,FALSE)</f>
        <v>405.60714285714283</v>
      </c>
      <c r="S48" s="117">
        <f>VLOOKUP(CONCATENATE($G48,"-",$F48,"-Lone Person"),'Look-ups'!$Y$4:$AG$35,5,FALSE)</f>
        <v>93.28</v>
      </c>
      <c r="T48">
        <f>VLOOKUP(CONCATENATE($G48,"-",$F48,"-Lone Person"),'Look-ups'!$Y$4:$AG$35,6,FALSE)</f>
        <v>133.56</v>
      </c>
      <c r="U48">
        <f>VLOOKUP(CONCATENATE($G48,"-",$F48,"-Lone Person"),'Look-ups'!$Y$4:$AG$35,7,FALSE)</f>
        <v>160.06</v>
      </c>
      <c r="V48">
        <f>VLOOKUP(CONCATENATE($G48,"-",$F48,"-Lone Person"),'Look-ups'!$Y$4:$AG$35,8,FALSE)</f>
        <v>196.10000000000002</v>
      </c>
      <c r="W48">
        <f>VLOOKUP(CONCATENATE($G48,"-",$F48,"-Lone Person"),'Look-ups'!$Y$4:$AG$35,9,FALSE)</f>
        <v>186.56</v>
      </c>
      <c r="X48" s="117">
        <f>VLOOKUP(CONCATENATE($G48,"-",$F48,"-Couple Only"),'Look-ups'!$Y$4:$AG$35,5,FALSE)</f>
        <v>151.58</v>
      </c>
      <c r="Y48">
        <f>VLOOKUP(CONCATENATE($G48,"-",$F48,"-Couple Only"),'Look-ups'!$Y$4:$AG$35,6,FALSE)</f>
        <v>143.1</v>
      </c>
      <c r="Z48">
        <f>VLOOKUP(CONCATENATE($G48,"-",$F48,"-Couple Only"),'Look-ups'!$Y$4:$AG$35,7,FALSE)</f>
        <v>162.18</v>
      </c>
      <c r="AA48">
        <f>VLOOKUP(CONCATENATE($G48,"-",$F48,"-Couple Only"),'Look-ups'!$Y$4:$AG$35,8,FALSE)</f>
        <v>179.14000000000001</v>
      </c>
      <c r="AB48">
        <f>VLOOKUP(CONCATENATE($G48,"-",$F48,"-Couple Only"),'Look-ups'!$Y$4:$AG$35,9,FALSE)</f>
        <v>224.72</v>
      </c>
      <c r="AC48">
        <v>66</v>
      </c>
      <c r="AD48" t="s">
        <v>169</v>
      </c>
      <c r="AE48" s="260">
        <f>VLOOKUP($AD48,'Look-ups'!$A$122:$G$130,5,FALSE)</f>
        <v>0.08278508771929824</v>
      </c>
      <c r="AF48" s="260">
        <f>VLOOKUP($AD48,'Look-ups'!$A$122:$G$130,6,FALSE)</f>
        <v>0.6069078947368421</v>
      </c>
      <c r="AG48" s="260">
        <f>VLOOKUP($AD48,'Look-ups'!$A$122:$G$130,7,FALSE)</f>
        <v>0.31030701754385964</v>
      </c>
      <c r="AH48" s="264">
        <f>VLOOKUP($AC48,'Look-ups'!$A$50:$AO$118,'Look-ups'!$B$133*4,FALSE)*0.277778</f>
        <v>110.9588722922091</v>
      </c>
      <c r="AI48" s="264">
        <f>VLOOKUP($AC48,'Look-ups'!$A$50:$AO$118,'Look-ups'!$B$133*4+1,FALSE)*0.277778</f>
        <v>12.930115707790923</v>
      </c>
      <c r="AJ48" s="264">
        <f>AE48*$AH48/'Look-ups'!$B$141</f>
        <v>12.007503236529336</v>
      </c>
      <c r="AK48" s="264">
        <f>AF48*$AH48/'Look-ups'!$B$140</f>
        <v>92.24906244553253</v>
      </c>
      <c r="AL48" s="264">
        <f>AG48*$AH48/'Look-ups'!$B$137</f>
        <v>6.55834604400484</v>
      </c>
      <c r="AM48" s="264">
        <f>AI48/'Look-ups'!$B$136</f>
        <v>2.722129622692826</v>
      </c>
      <c r="AN48" s="263">
        <f>AJ48*VLOOKUP($AD48,'Look-ups'!$A$123:$M$130,10,FALSE)</f>
        <v>3.258702961691433</v>
      </c>
      <c r="AO48" s="263">
        <f>AK48*VLOOKUP($AD48,'Look-ups'!$A$123:$M$130,9,FALSE)</f>
        <v>10.637529316219188</v>
      </c>
      <c r="AP48" s="263">
        <f>(AL48+AM48)*VLOOKUP($AD48,'Look-ups'!$A$123:$M$130,8,FALSE)</f>
        <v>2.0456597202461855</v>
      </c>
      <c r="AQ48" s="263">
        <f t="shared" si="0"/>
        <v>15.941891998156807</v>
      </c>
      <c r="AR48" s="265">
        <f>AJ48*VLOOKUP($AD48,'Look-ups'!$A$123:$M$130,11,FALSE)</f>
        <v>0.051873866450067335</v>
      </c>
      <c r="AS48" s="265">
        <f>AK48*VLOOKUP($AD48,'Look-ups'!$A$123:$M$130,12,FALSE)</f>
        <v>17.113418251856903</v>
      </c>
      <c r="AT48" s="265">
        <f>(AL48+AM48)*VLOOKUP($AD48,'Look-ups'!$A$123:$M$130,13,FALSE)</f>
        <v>2.2755726334742676</v>
      </c>
      <c r="AU48" s="265">
        <f t="shared" si="1"/>
        <v>19.440864751781238</v>
      </c>
    </row>
    <row r="49" spans="1:47" ht="15">
      <c r="A49">
        <v>2008</v>
      </c>
      <c r="B49" t="s">
        <v>341</v>
      </c>
      <c r="C49">
        <v>1329.0133</v>
      </c>
      <c r="D49">
        <v>289630</v>
      </c>
      <c r="E49">
        <v>217.9285940930764</v>
      </c>
      <c r="F49" t="s">
        <v>173</v>
      </c>
      <c r="G49" t="s">
        <v>169</v>
      </c>
      <c r="H49">
        <f>VLOOKUP(CONCATENATE($G49,"-",$F49,"-",$H$2),'Look-ups'!$O$3:$S$34,5,FALSE)*VLOOKUP(CONCATENATE($F49,"-",$H$2,"-",H$3),'Look-ups'!$I$3:$M$24,5,FALSE)</f>
        <v>206</v>
      </c>
      <c r="I49">
        <f>VLOOKUP(CONCATENATE($G49,"-",$F49,"-",$H$2),'Look-ups'!$O$3:$S$34,5,FALSE)*VLOOKUP(CONCATENATE($F49,"-",$H$2,"-",I$3),'Look-ups'!$I$3:$M$24,5,FALSE)</f>
        <v>309</v>
      </c>
      <c r="J49">
        <f>VLOOKUP(CONCATENATE($G49,"-",$F49,"-",$H$2),'Look-ups'!$O$3:$S$34,5,FALSE)*VLOOKUP(CONCATENATE($F49,"-",$H$2,"-",J$3),'Look-ups'!$I$3:$M$24,5,FALSE)</f>
        <v>360.5</v>
      </c>
      <c r="K49">
        <f>VLOOKUP(CONCATENATE($G49,"-",$F49,"-",$H$2),'Look-ups'!$O$3:$S$34,5,FALSE)*VLOOKUP(CONCATENATE($F49,"-",$H$2,"-",K$3),'Look-ups'!$I$3:$M$24,5,FALSE)</f>
        <v>463.5</v>
      </c>
      <c r="L49">
        <f>VLOOKUP(CONCATENATE($G49,"-",$F49,"-",$H$2),'Look-ups'!$O$3:$S$34,5,FALSE)*VLOOKUP(CONCATENATE($F49,"-",$H$2,"-",L$3),'Look-ups'!$I$3:$M$24,5,FALSE)</f>
        <v>515</v>
      </c>
      <c r="M49">
        <f>VLOOKUP(CONCATENATE($G49,"-",$F49,"-",$H$2),'Look-ups'!$O$3:$S$34,5,FALSE)*VLOOKUP(CONCATENATE($F49,"-",$H$2,"-",M$3),'Look-ups'!$I$3:$M$24,5,FALSE)</f>
        <v>566.5</v>
      </c>
      <c r="N49">
        <f>VLOOKUP(CONCATENATE($G49,"-",$F49,"-",$N$2),'Look-ups'!$O$3:$S$34,5,FALSE)*VLOOKUP(CONCATENATE($F49,"-",$N$2,"-",N$3),'Look-ups'!$I$3:$M$24,5,FALSE)</f>
        <v>207.75</v>
      </c>
      <c r="O49">
        <f>VLOOKUP(CONCATENATE($G49,"-",$F49,"-",$N$2),'Look-ups'!$O$3:$S$34,5,FALSE)*VLOOKUP(CONCATENATE($F49,"-",$N$2,"-",O$3),'Look-ups'!$I$3:$M$24,5,FALSE)</f>
        <v>207.75</v>
      </c>
      <c r="P49">
        <f>VLOOKUP(CONCATENATE($G49,"-",$F49,"-",$N$2),'Look-ups'!$O$3:$S$34,5,FALSE)*VLOOKUP(CONCATENATE($F49,"-",$N$2,"-",P$3),'Look-ups'!$I$3:$M$24,5,FALSE)</f>
        <v>277</v>
      </c>
      <c r="Q49">
        <f>VLOOKUP(CONCATENATE($G49,"-",$F49,"-",$N$2),'Look-ups'!$O$3:$S$34,5,FALSE)*VLOOKUP(CONCATENATE($F49,"-",$N$2,"-",Q$3),'Look-ups'!$I$3:$M$24,5,FALSE)</f>
        <v>356.14285714285717</v>
      </c>
      <c r="R49">
        <f>VLOOKUP(CONCATENATE($G49,"-",$F49,"-",$N$2),'Look-ups'!$O$3:$S$34,5,FALSE)*VLOOKUP(CONCATENATE($F49,"-",$N$2,"-",R$3),'Look-ups'!$I$3:$M$24,5,FALSE)</f>
        <v>405.60714285714283</v>
      </c>
      <c r="S49" s="117">
        <f>VLOOKUP(CONCATENATE($G49,"-",$F49,"-Lone Person"),'Look-ups'!$Y$4:$AG$35,5,FALSE)</f>
        <v>93.28</v>
      </c>
      <c r="T49">
        <f>VLOOKUP(CONCATENATE($G49,"-",$F49,"-Lone Person"),'Look-ups'!$Y$4:$AG$35,6,FALSE)</f>
        <v>133.56</v>
      </c>
      <c r="U49">
        <f>VLOOKUP(CONCATENATE($G49,"-",$F49,"-Lone Person"),'Look-ups'!$Y$4:$AG$35,7,FALSE)</f>
        <v>160.06</v>
      </c>
      <c r="V49">
        <f>VLOOKUP(CONCATENATE($G49,"-",$F49,"-Lone Person"),'Look-ups'!$Y$4:$AG$35,8,FALSE)</f>
        <v>196.10000000000002</v>
      </c>
      <c r="W49">
        <f>VLOOKUP(CONCATENATE($G49,"-",$F49,"-Lone Person"),'Look-ups'!$Y$4:$AG$35,9,FALSE)</f>
        <v>186.56</v>
      </c>
      <c r="X49" s="117">
        <f>VLOOKUP(CONCATENATE($G49,"-",$F49,"-Couple Only"),'Look-ups'!$Y$4:$AG$35,5,FALSE)</f>
        <v>151.58</v>
      </c>
      <c r="Y49">
        <f>VLOOKUP(CONCATENATE($G49,"-",$F49,"-Couple Only"),'Look-ups'!$Y$4:$AG$35,6,FALSE)</f>
        <v>143.1</v>
      </c>
      <c r="Z49">
        <f>VLOOKUP(CONCATENATE($G49,"-",$F49,"-Couple Only"),'Look-ups'!$Y$4:$AG$35,7,FALSE)</f>
        <v>162.18</v>
      </c>
      <c r="AA49">
        <f>VLOOKUP(CONCATENATE($G49,"-",$F49,"-Couple Only"),'Look-ups'!$Y$4:$AG$35,8,FALSE)</f>
        <v>179.14000000000001</v>
      </c>
      <c r="AB49">
        <f>VLOOKUP(CONCATENATE($G49,"-",$F49,"-Couple Only"),'Look-ups'!$Y$4:$AG$35,9,FALSE)</f>
        <v>224.72</v>
      </c>
      <c r="AC49">
        <v>60</v>
      </c>
      <c r="AD49" t="s">
        <v>169</v>
      </c>
      <c r="AE49" s="260">
        <f>VLOOKUP($AD49,'Look-ups'!$A$122:$G$130,5,FALSE)</f>
        <v>0.08278508771929824</v>
      </c>
      <c r="AF49" s="260">
        <f>VLOOKUP($AD49,'Look-ups'!$A$122:$G$130,6,FALSE)</f>
        <v>0.6069078947368421</v>
      </c>
      <c r="AG49" s="260">
        <f>VLOOKUP($AD49,'Look-ups'!$A$122:$G$130,7,FALSE)</f>
        <v>0.31030701754385964</v>
      </c>
      <c r="AH49" s="264">
        <f>VLOOKUP($AC49,'Look-ups'!$A$50:$AO$118,'Look-ups'!$B$133*4,FALSE)*0.277778</f>
        <v>64.50516409073796</v>
      </c>
      <c r="AI49" s="264">
        <f>VLOOKUP($AC49,'Look-ups'!$A$50:$AO$118,'Look-ups'!$B$133*4+1,FALSE)*0.277778</f>
        <v>12.994897909262034</v>
      </c>
      <c r="AJ49" s="264">
        <f>AE49*$AH49/'Look-ups'!$B$141</f>
        <v>6.980477996862052</v>
      </c>
      <c r="AK49" s="264">
        <f>AF49*$AH49/'Look-ups'!$B$140</f>
        <v>53.6283470383073</v>
      </c>
      <c r="AL49" s="264">
        <f>AG49*$AH49/'Look-ups'!$B$137</f>
        <v>3.812648587652223</v>
      </c>
      <c r="AM49" s="264">
        <f>AI49/'Look-ups'!$B$136</f>
        <v>2.7357679808972706</v>
      </c>
      <c r="AN49" s="263">
        <f>AJ49*VLOOKUP($AD49,'Look-ups'!$A$123:$M$130,10,FALSE)</f>
        <v>1.8944241674817288</v>
      </c>
      <c r="AO49" s="263">
        <f>AK49*VLOOKUP($AD49,'Look-ups'!$A$123:$M$130,9,FALSE)</f>
        <v>6.184053243220765</v>
      </c>
      <c r="AP49" s="263">
        <f>(AL49+AM49)*VLOOKUP($AD49,'Look-ups'!$A$123:$M$130,8,FALSE)</f>
        <v>1.4434423931247882</v>
      </c>
      <c r="AQ49" s="263">
        <f t="shared" si="0"/>
        <v>9.521919803827283</v>
      </c>
      <c r="AR49" s="265">
        <f>AJ49*VLOOKUP($AD49,'Look-ups'!$A$123:$M$130,11,FALSE)</f>
        <v>0.030156509328705266</v>
      </c>
      <c r="AS49" s="265">
        <f>AK49*VLOOKUP($AD49,'Look-ups'!$A$123:$M$130,12,FALSE)</f>
        <v>9.94876596782941</v>
      </c>
      <c r="AT49" s="265">
        <f>(AL49+AM49)*VLOOKUP($AD49,'Look-ups'!$A$123:$M$130,13,FALSE)</f>
        <v>1.6056717426083358</v>
      </c>
      <c r="AU49" s="265">
        <f t="shared" si="1"/>
        <v>11.584594219766451</v>
      </c>
    </row>
    <row r="50" spans="1:47" ht="15">
      <c r="A50">
        <v>2009</v>
      </c>
      <c r="B50" t="s">
        <v>586</v>
      </c>
      <c r="C50">
        <v>367.397499999999</v>
      </c>
      <c r="D50">
        <v>22200</v>
      </c>
      <c r="E50">
        <v>60.42501650120118</v>
      </c>
      <c r="F50" t="s">
        <v>173</v>
      </c>
      <c r="G50" t="s">
        <v>169</v>
      </c>
      <c r="H50">
        <f>VLOOKUP(CONCATENATE($G50,"-",$F50,"-",$H$2),'Look-ups'!$O$3:$S$34,5,FALSE)*VLOOKUP(CONCATENATE($F50,"-",$H$2,"-",H$3),'Look-ups'!$I$3:$M$24,5,FALSE)</f>
        <v>206</v>
      </c>
      <c r="I50">
        <f>VLOOKUP(CONCATENATE($G50,"-",$F50,"-",$H$2),'Look-ups'!$O$3:$S$34,5,FALSE)*VLOOKUP(CONCATENATE($F50,"-",$H$2,"-",I$3),'Look-ups'!$I$3:$M$24,5,FALSE)</f>
        <v>309</v>
      </c>
      <c r="J50">
        <f>VLOOKUP(CONCATENATE($G50,"-",$F50,"-",$H$2),'Look-ups'!$O$3:$S$34,5,FALSE)*VLOOKUP(CONCATENATE($F50,"-",$H$2,"-",J$3),'Look-ups'!$I$3:$M$24,5,FALSE)</f>
        <v>360.5</v>
      </c>
      <c r="K50">
        <f>VLOOKUP(CONCATENATE($G50,"-",$F50,"-",$H$2),'Look-ups'!$O$3:$S$34,5,FALSE)*VLOOKUP(CONCATENATE($F50,"-",$H$2,"-",K$3),'Look-ups'!$I$3:$M$24,5,FALSE)</f>
        <v>463.5</v>
      </c>
      <c r="L50">
        <f>VLOOKUP(CONCATENATE($G50,"-",$F50,"-",$H$2),'Look-ups'!$O$3:$S$34,5,FALSE)*VLOOKUP(CONCATENATE($F50,"-",$H$2,"-",L$3),'Look-ups'!$I$3:$M$24,5,FALSE)</f>
        <v>515</v>
      </c>
      <c r="M50">
        <f>VLOOKUP(CONCATENATE($G50,"-",$F50,"-",$H$2),'Look-ups'!$O$3:$S$34,5,FALSE)*VLOOKUP(CONCATENATE($F50,"-",$H$2,"-",M$3),'Look-ups'!$I$3:$M$24,5,FALSE)</f>
        <v>566.5</v>
      </c>
      <c r="N50">
        <f>VLOOKUP(CONCATENATE($G50,"-",$F50,"-",$N$2),'Look-ups'!$O$3:$S$34,5,FALSE)*VLOOKUP(CONCATENATE($F50,"-",$N$2,"-",N$3),'Look-ups'!$I$3:$M$24,5,FALSE)</f>
        <v>207.75</v>
      </c>
      <c r="O50">
        <f>VLOOKUP(CONCATENATE($G50,"-",$F50,"-",$N$2),'Look-ups'!$O$3:$S$34,5,FALSE)*VLOOKUP(CONCATENATE($F50,"-",$N$2,"-",O$3),'Look-ups'!$I$3:$M$24,5,FALSE)</f>
        <v>207.75</v>
      </c>
      <c r="P50">
        <f>VLOOKUP(CONCATENATE($G50,"-",$F50,"-",$N$2),'Look-ups'!$O$3:$S$34,5,FALSE)*VLOOKUP(CONCATENATE($F50,"-",$N$2,"-",P$3),'Look-ups'!$I$3:$M$24,5,FALSE)</f>
        <v>277</v>
      </c>
      <c r="Q50">
        <f>VLOOKUP(CONCATENATE($G50,"-",$F50,"-",$N$2),'Look-ups'!$O$3:$S$34,5,FALSE)*VLOOKUP(CONCATENATE($F50,"-",$N$2,"-",Q$3),'Look-ups'!$I$3:$M$24,5,FALSE)</f>
        <v>356.14285714285717</v>
      </c>
      <c r="R50">
        <f>VLOOKUP(CONCATENATE($G50,"-",$F50,"-",$N$2),'Look-ups'!$O$3:$S$34,5,FALSE)*VLOOKUP(CONCATENATE($F50,"-",$N$2,"-",R$3),'Look-ups'!$I$3:$M$24,5,FALSE)</f>
        <v>405.60714285714283</v>
      </c>
      <c r="S50" s="117">
        <f>VLOOKUP(CONCATENATE($G50,"-",$F50,"-Lone Person"),'Look-ups'!$Y$4:$AG$35,5,FALSE)</f>
        <v>93.28</v>
      </c>
      <c r="T50">
        <f>VLOOKUP(CONCATENATE($G50,"-",$F50,"-Lone Person"),'Look-ups'!$Y$4:$AG$35,6,FALSE)</f>
        <v>133.56</v>
      </c>
      <c r="U50">
        <f>VLOOKUP(CONCATENATE($G50,"-",$F50,"-Lone Person"),'Look-ups'!$Y$4:$AG$35,7,FALSE)</f>
        <v>160.06</v>
      </c>
      <c r="V50">
        <f>VLOOKUP(CONCATENATE($G50,"-",$F50,"-Lone Person"),'Look-ups'!$Y$4:$AG$35,8,FALSE)</f>
        <v>196.10000000000002</v>
      </c>
      <c r="W50">
        <f>VLOOKUP(CONCATENATE($G50,"-",$F50,"-Lone Person"),'Look-ups'!$Y$4:$AG$35,9,FALSE)</f>
        <v>186.56</v>
      </c>
      <c r="X50" s="117">
        <f>VLOOKUP(CONCATENATE($G50,"-",$F50,"-Couple Only"),'Look-ups'!$Y$4:$AG$35,5,FALSE)</f>
        <v>151.58</v>
      </c>
      <c r="Y50">
        <f>VLOOKUP(CONCATENATE($G50,"-",$F50,"-Couple Only"),'Look-ups'!$Y$4:$AG$35,6,FALSE)</f>
        <v>143.1</v>
      </c>
      <c r="Z50">
        <f>VLOOKUP(CONCATENATE($G50,"-",$F50,"-Couple Only"),'Look-ups'!$Y$4:$AG$35,7,FALSE)</f>
        <v>162.18</v>
      </c>
      <c r="AA50">
        <f>VLOOKUP(CONCATENATE($G50,"-",$F50,"-Couple Only"),'Look-ups'!$Y$4:$AG$35,8,FALSE)</f>
        <v>179.14000000000001</v>
      </c>
      <c r="AB50">
        <f>VLOOKUP(CONCATENATE($G50,"-",$F50,"-Couple Only"),'Look-ups'!$Y$4:$AG$35,9,FALSE)</f>
        <v>224.72</v>
      </c>
      <c r="AC50">
        <v>60</v>
      </c>
      <c r="AD50" t="s">
        <v>169</v>
      </c>
      <c r="AE50" s="260">
        <f>VLOOKUP($AD50,'Look-ups'!$A$122:$G$130,5,FALSE)</f>
        <v>0.08278508771929824</v>
      </c>
      <c r="AF50" s="260">
        <f>VLOOKUP($AD50,'Look-ups'!$A$122:$G$130,6,FALSE)</f>
        <v>0.6069078947368421</v>
      </c>
      <c r="AG50" s="260">
        <f>VLOOKUP($AD50,'Look-ups'!$A$122:$G$130,7,FALSE)</f>
        <v>0.31030701754385964</v>
      </c>
      <c r="AH50" s="264">
        <f>VLOOKUP($AC50,'Look-ups'!$A$50:$AO$118,'Look-ups'!$B$133*4,FALSE)*0.277778</f>
        <v>64.50516409073796</v>
      </c>
      <c r="AI50" s="264">
        <f>VLOOKUP($AC50,'Look-ups'!$A$50:$AO$118,'Look-ups'!$B$133*4+1,FALSE)*0.277778</f>
        <v>12.994897909262034</v>
      </c>
      <c r="AJ50" s="264">
        <f>AE50*$AH50/'Look-ups'!$B$141</f>
        <v>6.980477996862052</v>
      </c>
      <c r="AK50" s="264">
        <f>AF50*$AH50/'Look-ups'!$B$140</f>
        <v>53.6283470383073</v>
      </c>
      <c r="AL50" s="264">
        <f>AG50*$AH50/'Look-ups'!$B$137</f>
        <v>3.812648587652223</v>
      </c>
      <c r="AM50" s="264">
        <f>AI50/'Look-ups'!$B$136</f>
        <v>2.7357679808972706</v>
      </c>
      <c r="AN50" s="263">
        <f>AJ50*VLOOKUP($AD50,'Look-ups'!$A$123:$M$130,10,FALSE)</f>
        <v>1.8944241674817288</v>
      </c>
      <c r="AO50" s="263">
        <f>AK50*VLOOKUP($AD50,'Look-ups'!$A$123:$M$130,9,FALSE)</f>
        <v>6.184053243220765</v>
      </c>
      <c r="AP50" s="263">
        <f>(AL50+AM50)*VLOOKUP($AD50,'Look-ups'!$A$123:$M$130,8,FALSE)</f>
        <v>1.4434423931247882</v>
      </c>
      <c r="AQ50" s="263">
        <f t="shared" si="0"/>
        <v>9.521919803827283</v>
      </c>
      <c r="AR50" s="265">
        <f>AJ50*VLOOKUP($AD50,'Look-ups'!$A$123:$M$130,11,FALSE)</f>
        <v>0.030156509328705266</v>
      </c>
      <c r="AS50" s="265">
        <f>AK50*VLOOKUP($AD50,'Look-ups'!$A$123:$M$130,12,FALSE)</f>
        <v>9.94876596782941</v>
      </c>
      <c r="AT50" s="265">
        <f>(AL50+AM50)*VLOOKUP($AD50,'Look-ups'!$A$123:$M$130,13,FALSE)</f>
        <v>1.6056717426083358</v>
      </c>
      <c r="AU50" s="265">
        <f t="shared" si="1"/>
        <v>11.584594219766451</v>
      </c>
    </row>
    <row r="51" spans="1:47" ht="15">
      <c r="A51">
        <v>2010</v>
      </c>
      <c r="B51" t="s">
        <v>342</v>
      </c>
      <c r="C51">
        <v>83.0691</v>
      </c>
      <c r="D51">
        <v>16985</v>
      </c>
      <c r="E51">
        <v>204.46832817497722</v>
      </c>
      <c r="F51" t="s">
        <v>173</v>
      </c>
      <c r="G51" t="s">
        <v>169</v>
      </c>
      <c r="H51">
        <f>VLOOKUP(CONCATENATE($G51,"-",$F51,"-",$H$2),'Look-ups'!$O$3:$S$34,5,FALSE)*VLOOKUP(CONCATENATE($F51,"-",$H$2,"-",H$3),'Look-ups'!$I$3:$M$24,5,FALSE)</f>
        <v>206</v>
      </c>
      <c r="I51">
        <f>VLOOKUP(CONCATENATE($G51,"-",$F51,"-",$H$2),'Look-ups'!$O$3:$S$34,5,FALSE)*VLOOKUP(CONCATENATE($F51,"-",$H$2,"-",I$3),'Look-ups'!$I$3:$M$24,5,FALSE)</f>
        <v>309</v>
      </c>
      <c r="J51">
        <f>VLOOKUP(CONCATENATE($G51,"-",$F51,"-",$H$2),'Look-ups'!$O$3:$S$34,5,FALSE)*VLOOKUP(CONCATENATE($F51,"-",$H$2,"-",J$3),'Look-ups'!$I$3:$M$24,5,FALSE)</f>
        <v>360.5</v>
      </c>
      <c r="K51">
        <f>VLOOKUP(CONCATENATE($G51,"-",$F51,"-",$H$2),'Look-ups'!$O$3:$S$34,5,FALSE)*VLOOKUP(CONCATENATE($F51,"-",$H$2,"-",K$3),'Look-ups'!$I$3:$M$24,5,FALSE)</f>
        <v>463.5</v>
      </c>
      <c r="L51">
        <f>VLOOKUP(CONCATENATE($G51,"-",$F51,"-",$H$2),'Look-ups'!$O$3:$S$34,5,FALSE)*VLOOKUP(CONCATENATE($F51,"-",$H$2,"-",L$3),'Look-ups'!$I$3:$M$24,5,FALSE)</f>
        <v>515</v>
      </c>
      <c r="M51">
        <f>VLOOKUP(CONCATENATE($G51,"-",$F51,"-",$H$2),'Look-ups'!$O$3:$S$34,5,FALSE)*VLOOKUP(CONCATENATE($F51,"-",$H$2,"-",M$3),'Look-ups'!$I$3:$M$24,5,FALSE)</f>
        <v>566.5</v>
      </c>
      <c r="N51">
        <f>VLOOKUP(CONCATENATE($G51,"-",$F51,"-",$N$2),'Look-ups'!$O$3:$S$34,5,FALSE)*VLOOKUP(CONCATENATE($F51,"-",$N$2,"-",N$3),'Look-ups'!$I$3:$M$24,5,FALSE)</f>
        <v>207.75</v>
      </c>
      <c r="O51">
        <f>VLOOKUP(CONCATENATE($G51,"-",$F51,"-",$N$2),'Look-ups'!$O$3:$S$34,5,FALSE)*VLOOKUP(CONCATENATE($F51,"-",$N$2,"-",O$3),'Look-ups'!$I$3:$M$24,5,FALSE)</f>
        <v>207.75</v>
      </c>
      <c r="P51">
        <f>VLOOKUP(CONCATENATE($G51,"-",$F51,"-",$N$2),'Look-ups'!$O$3:$S$34,5,FALSE)*VLOOKUP(CONCATENATE($F51,"-",$N$2,"-",P$3),'Look-ups'!$I$3:$M$24,5,FALSE)</f>
        <v>277</v>
      </c>
      <c r="Q51">
        <f>VLOOKUP(CONCATENATE($G51,"-",$F51,"-",$N$2),'Look-ups'!$O$3:$S$34,5,FALSE)*VLOOKUP(CONCATENATE($F51,"-",$N$2,"-",Q$3),'Look-ups'!$I$3:$M$24,5,FALSE)</f>
        <v>356.14285714285717</v>
      </c>
      <c r="R51">
        <f>VLOOKUP(CONCATENATE($G51,"-",$F51,"-",$N$2),'Look-ups'!$O$3:$S$34,5,FALSE)*VLOOKUP(CONCATENATE($F51,"-",$N$2,"-",R$3),'Look-ups'!$I$3:$M$24,5,FALSE)</f>
        <v>405.60714285714283</v>
      </c>
      <c r="S51" s="117">
        <f>VLOOKUP(CONCATENATE($G51,"-",$F51,"-Lone Person"),'Look-ups'!$Y$4:$AG$35,5,FALSE)</f>
        <v>93.28</v>
      </c>
      <c r="T51">
        <f>VLOOKUP(CONCATENATE($G51,"-",$F51,"-Lone Person"),'Look-ups'!$Y$4:$AG$35,6,FALSE)</f>
        <v>133.56</v>
      </c>
      <c r="U51">
        <f>VLOOKUP(CONCATENATE($G51,"-",$F51,"-Lone Person"),'Look-ups'!$Y$4:$AG$35,7,FALSE)</f>
        <v>160.06</v>
      </c>
      <c r="V51">
        <f>VLOOKUP(CONCATENATE($G51,"-",$F51,"-Lone Person"),'Look-ups'!$Y$4:$AG$35,8,FALSE)</f>
        <v>196.10000000000002</v>
      </c>
      <c r="W51">
        <f>VLOOKUP(CONCATENATE($G51,"-",$F51,"-Lone Person"),'Look-ups'!$Y$4:$AG$35,9,FALSE)</f>
        <v>186.56</v>
      </c>
      <c r="X51" s="117">
        <f>VLOOKUP(CONCATENATE($G51,"-",$F51,"-Couple Only"),'Look-ups'!$Y$4:$AG$35,5,FALSE)</f>
        <v>151.58</v>
      </c>
      <c r="Y51">
        <f>VLOOKUP(CONCATENATE($G51,"-",$F51,"-Couple Only"),'Look-ups'!$Y$4:$AG$35,6,FALSE)</f>
        <v>143.1</v>
      </c>
      <c r="Z51">
        <f>VLOOKUP(CONCATENATE($G51,"-",$F51,"-Couple Only"),'Look-ups'!$Y$4:$AG$35,7,FALSE)</f>
        <v>162.18</v>
      </c>
      <c r="AA51">
        <f>VLOOKUP(CONCATENATE($G51,"-",$F51,"-Couple Only"),'Look-ups'!$Y$4:$AG$35,8,FALSE)</f>
        <v>179.14000000000001</v>
      </c>
      <c r="AB51">
        <f>VLOOKUP(CONCATENATE($G51,"-",$F51,"-Couple Only"),'Look-ups'!$Y$4:$AG$35,9,FALSE)</f>
        <v>224.72</v>
      </c>
      <c r="AC51">
        <v>27</v>
      </c>
      <c r="AD51" t="s">
        <v>169</v>
      </c>
      <c r="AE51" s="260">
        <f>VLOOKUP($AD51,'Look-ups'!$A$122:$G$130,5,FALSE)</f>
        <v>0.08278508771929824</v>
      </c>
      <c r="AF51" s="260">
        <f>VLOOKUP($AD51,'Look-ups'!$A$122:$G$130,6,FALSE)</f>
        <v>0.6069078947368421</v>
      </c>
      <c r="AG51" s="260">
        <f>VLOOKUP($AD51,'Look-ups'!$A$122:$G$130,7,FALSE)</f>
        <v>0.31030701754385964</v>
      </c>
      <c r="AH51" s="264">
        <f>VLOOKUP($AC51,'Look-ups'!$A$50:$AO$118,'Look-ups'!$B$133*4,FALSE)*0.277778</f>
        <v>41.49085090441251</v>
      </c>
      <c r="AI51" s="264">
        <f>VLOOKUP($AC51,'Look-ups'!$A$50:$AO$118,'Look-ups'!$B$133*4+1,FALSE)*0.277778</f>
        <v>31.564763095587505</v>
      </c>
      <c r="AJ51" s="264">
        <f>AE51*$AH51/'Look-ups'!$B$141</f>
        <v>4.4899656623138755</v>
      </c>
      <c r="AK51" s="264">
        <f>AF51*$AH51/'Look-ups'!$B$140</f>
        <v>34.49469174416055</v>
      </c>
      <c r="AL51" s="264">
        <f>AG51*$AH51/'Look-ups'!$B$137</f>
        <v>2.452362323715276</v>
      </c>
      <c r="AM51" s="264">
        <f>AI51/'Look-ups'!$B$136</f>
        <v>6.6452132832815805</v>
      </c>
      <c r="AN51" s="263">
        <f>AJ51*VLOOKUP($AD51,'Look-ups'!$A$123:$M$130,10,FALSE)</f>
        <v>1.2185267922446266</v>
      </c>
      <c r="AO51" s="263">
        <f>AK51*VLOOKUP($AD51,'Look-ups'!$A$123:$M$130,9,FALSE)</f>
        <v>3.977691316907493</v>
      </c>
      <c r="AP51" s="263">
        <f>(AL51+AM51)*VLOOKUP($AD51,'Look-ups'!$A$123:$M$130,8,FALSE)</f>
        <v>2.005343760332279</v>
      </c>
      <c r="AQ51" s="263">
        <f t="shared" si="0"/>
        <v>7.201561869484398</v>
      </c>
      <c r="AR51" s="265">
        <f>AJ51*VLOOKUP($AD51,'Look-ups'!$A$123:$M$130,11,FALSE)</f>
        <v>0.019397194782649854</v>
      </c>
      <c r="AS51" s="265">
        <f>AK51*VLOOKUP($AD51,'Look-ups'!$A$123:$M$130,12,FALSE)</f>
        <v>6.3992204542484545</v>
      </c>
      <c r="AT51" s="265">
        <f>(AL51+AM51)*VLOOKUP($AD51,'Look-ups'!$A$123:$M$130,13,FALSE)</f>
        <v>2.230725538835629</v>
      </c>
      <c r="AU51" s="265">
        <f t="shared" si="1"/>
        <v>8.649343187866734</v>
      </c>
    </row>
    <row r="52" spans="1:47" ht="15">
      <c r="A52">
        <v>2011</v>
      </c>
      <c r="B52" t="s">
        <v>343</v>
      </c>
      <c r="C52">
        <v>7100.1467</v>
      </c>
      <c r="D52">
        <v>4817843</v>
      </c>
      <c r="E52">
        <v>678.5554163268204</v>
      </c>
      <c r="F52" t="s">
        <v>172</v>
      </c>
      <c r="G52" t="s">
        <v>169</v>
      </c>
      <c r="H52">
        <f>VLOOKUP(CONCATENATE($G52,"-",$F52,"-",$H$2),'Look-ups'!$O$3:$S$34,5,FALSE)*VLOOKUP(CONCATENATE($F52,"-",$H$2,"-",H$3),'Look-ups'!$I$3:$M$24,5,FALSE)</f>
        <v>247.91666666666666</v>
      </c>
      <c r="I52">
        <f>VLOOKUP(CONCATENATE($G52,"-",$F52,"-",$H$2),'Look-ups'!$O$3:$S$34,5,FALSE)*VLOOKUP(CONCATENATE($F52,"-",$H$2,"-",I$3),'Look-ups'!$I$3:$M$24,5,FALSE)</f>
        <v>357</v>
      </c>
      <c r="J52">
        <f>VLOOKUP(CONCATENATE($G52,"-",$F52,"-",$H$2),'Look-ups'!$O$3:$S$34,5,FALSE)*VLOOKUP(CONCATENATE($F52,"-",$H$2,"-",J$3),'Look-ups'!$I$3:$M$24,5,FALSE)</f>
        <v>436.33333333333337</v>
      </c>
      <c r="K52">
        <f>VLOOKUP(CONCATENATE($G52,"-",$F52,"-",$H$2),'Look-ups'!$O$3:$S$34,5,FALSE)*VLOOKUP(CONCATENATE($F52,"-",$H$2,"-",K$3),'Look-ups'!$I$3:$M$24,5,FALSE)</f>
        <v>555.3333333333334</v>
      </c>
      <c r="L52">
        <f>VLOOKUP(CONCATENATE($G52,"-",$F52,"-",$H$2),'Look-ups'!$O$3:$S$34,5,FALSE)*VLOOKUP(CONCATENATE($F52,"-",$H$2,"-",L$3),'Look-ups'!$I$3:$M$24,5,FALSE)</f>
        <v>669.375</v>
      </c>
      <c r="M52">
        <f>VLOOKUP(CONCATENATE($G52,"-",$F52,"-",$H$2),'Look-ups'!$O$3:$S$34,5,FALSE)*VLOOKUP(CONCATENATE($F52,"-",$H$2,"-",M$3),'Look-ups'!$I$3:$M$24,5,FALSE)</f>
        <v>743.75</v>
      </c>
      <c r="N52">
        <f>VLOOKUP(CONCATENATE($G52,"-",$F52,"-",$N$2),'Look-ups'!$O$3:$S$34,5,FALSE)*VLOOKUP(CONCATENATE($F52,"-",$N$2,"-",N$3),'Look-ups'!$I$3:$M$24,5,FALSE)</f>
        <v>236.42666666666668</v>
      </c>
      <c r="O52">
        <f>VLOOKUP(CONCATENATE($G52,"-",$F52,"-",$N$2),'Look-ups'!$O$3:$S$34,5,FALSE)*VLOOKUP(CONCATENATE($F52,"-",$N$2,"-",O$3),'Look-ups'!$I$3:$M$24,5,FALSE)</f>
        <v>318.26666666666665</v>
      </c>
      <c r="P52">
        <f>VLOOKUP(CONCATENATE($G52,"-",$F52,"-",$N$2),'Look-ups'!$O$3:$S$34,5,FALSE)*VLOOKUP(CONCATENATE($F52,"-",$N$2,"-",P$3),'Look-ups'!$I$3:$M$24,5,FALSE)</f>
        <v>341</v>
      </c>
      <c r="Q52">
        <f>VLOOKUP(CONCATENATE($G52,"-",$F52,"-",$N$2),'Look-ups'!$O$3:$S$34,5,FALSE)*VLOOKUP(CONCATENATE($F52,"-",$N$2,"-",Q$3),'Look-ups'!$I$3:$M$24,5,FALSE)</f>
        <v>445.5733333333333</v>
      </c>
      <c r="R52">
        <f>VLOOKUP(CONCATENATE($G52,"-",$F52,"-",$N$2),'Look-ups'!$O$3:$S$34,5,FALSE)*VLOOKUP(CONCATENATE($F52,"-",$N$2,"-",R$3),'Look-ups'!$I$3:$M$24,5,FALSE)</f>
        <v>500.1333333333333</v>
      </c>
      <c r="S52" s="117">
        <f>VLOOKUP(CONCATENATE($G52,"-",$F52,"-Lone Person"),'Look-ups'!$Y$4:$AG$35,5,FALSE)</f>
        <v>114.48</v>
      </c>
      <c r="T52">
        <f>VLOOKUP(CONCATENATE($G52,"-",$F52,"-Lone Person"),'Look-ups'!$Y$4:$AG$35,6,FALSE)</f>
        <v>164.3</v>
      </c>
      <c r="U52">
        <f>VLOOKUP(CONCATENATE($G52,"-",$F52,"-Lone Person"),'Look-ups'!$Y$4:$AG$35,7,FALSE)</f>
        <v>197.16</v>
      </c>
      <c r="V52">
        <f>VLOOKUP(CONCATENATE($G52,"-",$F52,"-Lone Person"),'Look-ups'!$Y$4:$AG$35,8,FALSE)</f>
        <v>240.62</v>
      </c>
      <c r="W52">
        <f>VLOOKUP(CONCATENATE($G52,"-",$F52,"-Lone Person"),'Look-ups'!$Y$4:$AG$35,9,FALSE)</f>
        <v>228.96</v>
      </c>
      <c r="X52" s="117">
        <f>VLOOKUP(CONCATENATE($G52,"-",$F52,"-Couple Only"),'Look-ups'!$Y$4:$AG$35,5,FALSE)</f>
        <v>185.5</v>
      </c>
      <c r="Y52">
        <f>VLOOKUP(CONCATENATE($G52,"-",$F52,"-Couple Only"),'Look-ups'!$Y$4:$AG$35,6,FALSE)</f>
        <v>175.96</v>
      </c>
      <c r="Z52">
        <f>VLOOKUP(CONCATENATE($G52,"-",$F52,"-Couple Only"),'Look-ups'!$Y$4:$AG$35,7,FALSE)</f>
        <v>199.28</v>
      </c>
      <c r="AA52">
        <f>VLOOKUP(CONCATENATE($G52,"-",$F52,"-Couple Only"),'Look-ups'!$Y$4:$AG$35,8,FALSE)</f>
        <v>220.48000000000002</v>
      </c>
      <c r="AB52">
        <f>VLOOKUP(CONCATENATE($G52,"-",$F52,"-Couple Only"),'Look-ups'!$Y$4:$AG$35,9,FALSE)</f>
        <v>276.66</v>
      </c>
      <c r="AC52">
        <v>21</v>
      </c>
      <c r="AD52" t="s">
        <v>169</v>
      </c>
      <c r="AE52" s="260">
        <f>VLOOKUP($AD52,'Look-ups'!$A$122:$G$130,5,FALSE)</f>
        <v>0.08278508771929824</v>
      </c>
      <c r="AF52" s="260">
        <f>VLOOKUP($AD52,'Look-ups'!$A$122:$G$130,6,FALSE)</f>
        <v>0.6069078947368421</v>
      </c>
      <c r="AG52" s="260">
        <f>VLOOKUP($AD52,'Look-ups'!$A$122:$G$130,7,FALSE)</f>
        <v>0.31030701754385964</v>
      </c>
      <c r="AH52" s="264">
        <f>VLOOKUP($AC52,'Look-ups'!$A$50:$AO$118,'Look-ups'!$B$133*4,FALSE)*0.277778</f>
        <v>36.435397387972884</v>
      </c>
      <c r="AI52" s="264">
        <f>VLOOKUP($AC52,'Look-ups'!$A$50:$AO$118,'Look-ups'!$B$133*4+1,FALSE)*0.277778</f>
        <v>18.842424612027123</v>
      </c>
      <c r="AJ52" s="264">
        <f>AE52*$AH52/'Look-ups'!$B$141</f>
        <v>3.9428857109161117</v>
      </c>
      <c r="AK52" s="264">
        <f>AF52*$AH52/'Look-ups'!$B$140</f>
        <v>30.29168537347241</v>
      </c>
      <c r="AL52" s="264">
        <f>AG52*$AH52/'Look-ups'!$B$137</f>
        <v>2.1535541898070854</v>
      </c>
      <c r="AM52" s="264">
        <f>AI52/'Look-ups'!$B$136</f>
        <v>3.9668262341109735</v>
      </c>
      <c r="AN52" s="263">
        <f>AJ52*VLOOKUP($AD52,'Look-ups'!$A$123:$M$130,10,FALSE)</f>
        <v>1.0700553721014001</v>
      </c>
      <c r="AO52" s="263">
        <f>AK52*VLOOKUP($AD52,'Look-ups'!$A$123:$M$130,9,FALSE)</f>
        <v>3.49302944285485</v>
      </c>
      <c r="AP52" s="263">
        <f>(AL52+AM52)*VLOOKUP($AD52,'Look-ups'!$A$123:$M$130,8,FALSE)</f>
        <v>1.3490920245306348</v>
      </c>
      <c r="AQ52" s="263">
        <f t="shared" si="0"/>
        <v>5.912176839486885</v>
      </c>
      <c r="AR52" s="265">
        <f>AJ52*VLOOKUP($AD52,'Look-ups'!$A$123:$M$130,11,FALSE)</f>
        <v>0.017033743215967647</v>
      </c>
      <c r="AS52" s="265">
        <f>AK52*VLOOKUP($AD52,'Look-ups'!$A$123:$M$130,12,FALSE)</f>
        <v>5.619507316466982</v>
      </c>
      <c r="AT52" s="265">
        <f>(AL52+AM52)*VLOOKUP($AD52,'Look-ups'!$A$123:$M$130,13,FALSE)</f>
        <v>1.500717279944708</v>
      </c>
      <c r="AU52" s="265">
        <f t="shared" si="1"/>
        <v>7.137258339627658</v>
      </c>
    </row>
    <row r="53" spans="1:47" ht="15">
      <c r="A53">
        <v>2012</v>
      </c>
      <c r="B53" t="s">
        <v>587</v>
      </c>
      <c r="C53">
        <v>588.8581</v>
      </c>
      <c r="D53">
        <v>53620</v>
      </c>
      <c r="E53">
        <v>91.05759095442518</v>
      </c>
      <c r="F53" t="s">
        <v>173</v>
      </c>
      <c r="G53" t="s">
        <v>169</v>
      </c>
      <c r="H53">
        <f>VLOOKUP(CONCATENATE($G53,"-",$F53,"-",$H$2),'Look-ups'!$O$3:$S$34,5,FALSE)*VLOOKUP(CONCATENATE($F53,"-",$H$2,"-",H$3),'Look-ups'!$I$3:$M$24,5,FALSE)</f>
        <v>206</v>
      </c>
      <c r="I53">
        <f>VLOOKUP(CONCATENATE($G53,"-",$F53,"-",$H$2),'Look-ups'!$O$3:$S$34,5,FALSE)*VLOOKUP(CONCATENATE($F53,"-",$H$2,"-",I$3),'Look-ups'!$I$3:$M$24,5,FALSE)</f>
        <v>309</v>
      </c>
      <c r="J53">
        <f>VLOOKUP(CONCATENATE($G53,"-",$F53,"-",$H$2),'Look-ups'!$O$3:$S$34,5,FALSE)*VLOOKUP(CONCATENATE($F53,"-",$H$2,"-",J$3),'Look-ups'!$I$3:$M$24,5,FALSE)</f>
        <v>360.5</v>
      </c>
      <c r="K53">
        <f>VLOOKUP(CONCATENATE($G53,"-",$F53,"-",$H$2),'Look-ups'!$O$3:$S$34,5,FALSE)*VLOOKUP(CONCATENATE($F53,"-",$H$2,"-",K$3),'Look-ups'!$I$3:$M$24,5,FALSE)</f>
        <v>463.5</v>
      </c>
      <c r="L53">
        <f>VLOOKUP(CONCATENATE($G53,"-",$F53,"-",$H$2),'Look-ups'!$O$3:$S$34,5,FALSE)*VLOOKUP(CONCATENATE($F53,"-",$H$2,"-",L$3),'Look-ups'!$I$3:$M$24,5,FALSE)</f>
        <v>515</v>
      </c>
      <c r="M53">
        <f>VLOOKUP(CONCATENATE($G53,"-",$F53,"-",$H$2),'Look-ups'!$O$3:$S$34,5,FALSE)*VLOOKUP(CONCATENATE($F53,"-",$H$2,"-",M$3),'Look-ups'!$I$3:$M$24,5,FALSE)</f>
        <v>566.5</v>
      </c>
      <c r="N53">
        <f>VLOOKUP(CONCATENATE($G53,"-",$F53,"-",$N$2),'Look-ups'!$O$3:$S$34,5,FALSE)*VLOOKUP(CONCATENATE($F53,"-",$N$2,"-",N$3),'Look-ups'!$I$3:$M$24,5,FALSE)</f>
        <v>207.75</v>
      </c>
      <c r="O53">
        <f>VLOOKUP(CONCATENATE($G53,"-",$F53,"-",$N$2),'Look-ups'!$O$3:$S$34,5,FALSE)*VLOOKUP(CONCATENATE($F53,"-",$N$2,"-",O$3),'Look-ups'!$I$3:$M$24,5,FALSE)</f>
        <v>207.75</v>
      </c>
      <c r="P53">
        <f>VLOOKUP(CONCATENATE($G53,"-",$F53,"-",$N$2),'Look-ups'!$O$3:$S$34,5,FALSE)*VLOOKUP(CONCATENATE($F53,"-",$N$2,"-",P$3),'Look-ups'!$I$3:$M$24,5,FALSE)</f>
        <v>277</v>
      </c>
      <c r="Q53">
        <f>VLOOKUP(CONCATENATE($G53,"-",$F53,"-",$N$2),'Look-ups'!$O$3:$S$34,5,FALSE)*VLOOKUP(CONCATENATE($F53,"-",$N$2,"-",Q$3),'Look-ups'!$I$3:$M$24,5,FALSE)</f>
        <v>356.14285714285717</v>
      </c>
      <c r="R53">
        <f>VLOOKUP(CONCATENATE($G53,"-",$F53,"-",$N$2),'Look-ups'!$O$3:$S$34,5,FALSE)*VLOOKUP(CONCATENATE($F53,"-",$N$2,"-",R$3),'Look-ups'!$I$3:$M$24,5,FALSE)</f>
        <v>405.60714285714283</v>
      </c>
      <c r="S53" s="117">
        <f>VLOOKUP(CONCATENATE($G53,"-",$F53,"-Lone Person"),'Look-ups'!$Y$4:$AG$35,5,FALSE)</f>
        <v>93.28</v>
      </c>
      <c r="T53">
        <f>VLOOKUP(CONCATENATE($G53,"-",$F53,"-Lone Person"),'Look-ups'!$Y$4:$AG$35,6,FALSE)</f>
        <v>133.56</v>
      </c>
      <c r="U53">
        <f>VLOOKUP(CONCATENATE($G53,"-",$F53,"-Lone Person"),'Look-ups'!$Y$4:$AG$35,7,FALSE)</f>
        <v>160.06</v>
      </c>
      <c r="V53">
        <f>VLOOKUP(CONCATENATE($G53,"-",$F53,"-Lone Person"),'Look-ups'!$Y$4:$AG$35,8,FALSE)</f>
        <v>196.10000000000002</v>
      </c>
      <c r="W53">
        <f>VLOOKUP(CONCATENATE($G53,"-",$F53,"-Lone Person"),'Look-ups'!$Y$4:$AG$35,9,FALSE)</f>
        <v>186.56</v>
      </c>
      <c r="X53" s="117">
        <f>VLOOKUP(CONCATENATE($G53,"-",$F53,"-Couple Only"),'Look-ups'!$Y$4:$AG$35,5,FALSE)</f>
        <v>151.58</v>
      </c>
      <c r="Y53">
        <f>VLOOKUP(CONCATENATE($G53,"-",$F53,"-Couple Only"),'Look-ups'!$Y$4:$AG$35,6,FALSE)</f>
        <v>143.1</v>
      </c>
      <c r="Z53">
        <f>VLOOKUP(CONCATENATE($G53,"-",$F53,"-Couple Only"),'Look-ups'!$Y$4:$AG$35,7,FALSE)</f>
        <v>162.18</v>
      </c>
      <c r="AA53">
        <f>VLOOKUP(CONCATENATE($G53,"-",$F53,"-Couple Only"),'Look-ups'!$Y$4:$AG$35,8,FALSE)</f>
        <v>179.14000000000001</v>
      </c>
      <c r="AB53">
        <f>VLOOKUP(CONCATENATE($G53,"-",$F53,"-Couple Only"),'Look-ups'!$Y$4:$AG$35,9,FALSE)</f>
        <v>224.72</v>
      </c>
      <c r="AC53">
        <v>27</v>
      </c>
      <c r="AD53" t="s">
        <v>169</v>
      </c>
      <c r="AE53" s="260">
        <f>VLOOKUP($AD53,'Look-ups'!$A$122:$G$130,5,FALSE)</f>
        <v>0.08278508771929824</v>
      </c>
      <c r="AF53" s="260">
        <f>VLOOKUP($AD53,'Look-ups'!$A$122:$G$130,6,FALSE)</f>
        <v>0.6069078947368421</v>
      </c>
      <c r="AG53" s="260">
        <f>VLOOKUP($AD53,'Look-ups'!$A$122:$G$130,7,FALSE)</f>
        <v>0.31030701754385964</v>
      </c>
      <c r="AH53" s="264">
        <f>VLOOKUP($AC53,'Look-ups'!$A$50:$AO$118,'Look-ups'!$B$133*4,FALSE)*0.277778</f>
        <v>41.49085090441251</v>
      </c>
      <c r="AI53" s="264">
        <f>VLOOKUP($AC53,'Look-ups'!$A$50:$AO$118,'Look-ups'!$B$133*4+1,FALSE)*0.277778</f>
        <v>31.564763095587505</v>
      </c>
      <c r="AJ53" s="264">
        <f>AE53*$AH53/'Look-ups'!$B$141</f>
        <v>4.4899656623138755</v>
      </c>
      <c r="AK53" s="264">
        <f>AF53*$AH53/'Look-ups'!$B$140</f>
        <v>34.49469174416055</v>
      </c>
      <c r="AL53" s="264">
        <f>AG53*$AH53/'Look-ups'!$B$137</f>
        <v>2.452362323715276</v>
      </c>
      <c r="AM53" s="264">
        <f>AI53/'Look-ups'!$B$136</f>
        <v>6.6452132832815805</v>
      </c>
      <c r="AN53" s="263">
        <f>AJ53*VLOOKUP($AD53,'Look-ups'!$A$123:$M$130,10,FALSE)</f>
        <v>1.2185267922446266</v>
      </c>
      <c r="AO53" s="263">
        <f>AK53*VLOOKUP($AD53,'Look-ups'!$A$123:$M$130,9,FALSE)</f>
        <v>3.977691316907493</v>
      </c>
      <c r="AP53" s="263">
        <f>(AL53+AM53)*VLOOKUP($AD53,'Look-ups'!$A$123:$M$130,8,FALSE)</f>
        <v>2.005343760332279</v>
      </c>
      <c r="AQ53" s="263">
        <f t="shared" si="0"/>
        <v>7.201561869484398</v>
      </c>
      <c r="AR53" s="265">
        <f>AJ53*VLOOKUP($AD53,'Look-ups'!$A$123:$M$130,11,FALSE)</f>
        <v>0.019397194782649854</v>
      </c>
      <c r="AS53" s="265">
        <f>AK53*VLOOKUP($AD53,'Look-ups'!$A$123:$M$130,12,FALSE)</f>
        <v>6.3992204542484545</v>
      </c>
      <c r="AT53" s="265">
        <f>(AL53+AM53)*VLOOKUP($AD53,'Look-ups'!$A$123:$M$130,13,FALSE)</f>
        <v>2.230725538835629</v>
      </c>
      <c r="AU53" s="265">
        <f t="shared" si="1"/>
        <v>8.649343187866734</v>
      </c>
    </row>
    <row r="54" spans="1:47" ht="15">
      <c r="A54">
        <v>2013</v>
      </c>
      <c r="B54" t="s">
        <v>344</v>
      </c>
      <c r="C54">
        <v>447.9855</v>
      </c>
      <c r="D54">
        <v>21997</v>
      </c>
      <c r="E54">
        <v>49.102035668565165</v>
      </c>
      <c r="F54" t="s">
        <v>173</v>
      </c>
      <c r="G54" t="s">
        <v>169</v>
      </c>
      <c r="H54">
        <f>VLOOKUP(CONCATENATE($G54,"-",$F54,"-",$H$2),'Look-ups'!$O$3:$S$34,5,FALSE)*VLOOKUP(CONCATENATE($F54,"-",$H$2,"-",H$3),'Look-ups'!$I$3:$M$24,5,FALSE)</f>
        <v>206</v>
      </c>
      <c r="I54">
        <f>VLOOKUP(CONCATENATE($G54,"-",$F54,"-",$H$2),'Look-ups'!$O$3:$S$34,5,FALSE)*VLOOKUP(CONCATENATE($F54,"-",$H$2,"-",I$3),'Look-ups'!$I$3:$M$24,5,FALSE)</f>
        <v>309</v>
      </c>
      <c r="J54">
        <f>VLOOKUP(CONCATENATE($G54,"-",$F54,"-",$H$2),'Look-ups'!$O$3:$S$34,5,FALSE)*VLOOKUP(CONCATENATE($F54,"-",$H$2,"-",J$3),'Look-ups'!$I$3:$M$24,5,FALSE)</f>
        <v>360.5</v>
      </c>
      <c r="K54">
        <f>VLOOKUP(CONCATENATE($G54,"-",$F54,"-",$H$2),'Look-ups'!$O$3:$S$34,5,FALSE)*VLOOKUP(CONCATENATE($F54,"-",$H$2,"-",K$3),'Look-ups'!$I$3:$M$24,5,FALSE)</f>
        <v>463.5</v>
      </c>
      <c r="L54">
        <f>VLOOKUP(CONCATENATE($G54,"-",$F54,"-",$H$2),'Look-ups'!$O$3:$S$34,5,FALSE)*VLOOKUP(CONCATENATE($F54,"-",$H$2,"-",L$3),'Look-ups'!$I$3:$M$24,5,FALSE)</f>
        <v>515</v>
      </c>
      <c r="M54">
        <f>VLOOKUP(CONCATENATE($G54,"-",$F54,"-",$H$2),'Look-ups'!$O$3:$S$34,5,FALSE)*VLOOKUP(CONCATENATE($F54,"-",$H$2,"-",M$3),'Look-ups'!$I$3:$M$24,5,FALSE)</f>
        <v>566.5</v>
      </c>
      <c r="N54">
        <f>VLOOKUP(CONCATENATE($G54,"-",$F54,"-",$N$2),'Look-ups'!$O$3:$S$34,5,FALSE)*VLOOKUP(CONCATENATE($F54,"-",$N$2,"-",N$3),'Look-ups'!$I$3:$M$24,5,FALSE)</f>
        <v>207.75</v>
      </c>
      <c r="O54">
        <f>VLOOKUP(CONCATENATE($G54,"-",$F54,"-",$N$2),'Look-ups'!$O$3:$S$34,5,FALSE)*VLOOKUP(CONCATENATE($F54,"-",$N$2,"-",O$3),'Look-ups'!$I$3:$M$24,5,FALSE)</f>
        <v>207.75</v>
      </c>
      <c r="P54">
        <f>VLOOKUP(CONCATENATE($G54,"-",$F54,"-",$N$2),'Look-ups'!$O$3:$S$34,5,FALSE)*VLOOKUP(CONCATENATE($F54,"-",$N$2,"-",P$3),'Look-ups'!$I$3:$M$24,5,FALSE)</f>
        <v>277</v>
      </c>
      <c r="Q54">
        <f>VLOOKUP(CONCATENATE($G54,"-",$F54,"-",$N$2),'Look-ups'!$O$3:$S$34,5,FALSE)*VLOOKUP(CONCATENATE($F54,"-",$N$2,"-",Q$3),'Look-ups'!$I$3:$M$24,5,FALSE)</f>
        <v>356.14285714285717</v>
      </c>
      <c r="R54">
        <f>VLOOKUP(CONCATENATE($G54,"-",$F54,"-",$N$2),'Look-ups'!$O$3:$S$34,5,FALSE)*VLOOKUP(CONCATENATE($F54,"-",$N$2,"-",R$3),'Look-ups'!$I$3:$M$24,5,FALSE)</f>
        <v>405.60714285714283</v>
      </c>
      <c r="S54" s="117">
        <f>VLOOKUP(CONCATENATE($G54,"-",$F54,"-Lone Person"),'Look-ups'!$Y$4:$AG$35,5,FALSE)</f>
        <v>93.28</v>
      </c>
      <c r="T54">
        <f>VLOOKUP(CONCATENATE($G54,"-",$F54,"-Lone Person"),'Look-ups'!$Y$4:$AG$35,6,FALSE)</f>
        <v>133.56</v>
      </c>
      <c r="U54">
        <f>VLOOKUP(CONCATENATE($G54,"-",$F54,"-Lone Person"),'Look-ups'!$Y$4:$AG$35,7,FALSE)</f>
        <v>160.06</v>
      </c>
      <c r="V54">
        <f>VLOOKUP(CONCATENATE($G54,"-",$F54,"-Lone Person"),'Look-ups'!$Y$4:$AG$35,8,FALSE)</f>
        <v>196.10000000000002</v>
      </c>
      <c r="W54">
        <f>VLOOKUP(CONCATENATE($G54,"-",$F54,"-Lone Person"),'Look-ups'!$Y$4:$AG$35,9,FALSE)</f>
        <v>186.56</v>
      </c>
      <c r="X54" s="117">
        <f>VLOOKUP(CONCATENATE($G54,"-",$F54,"-Couple Only"),'Look-ups'!$Y$4:$AG$35,5,FALSE)</f>
        <v>151.58</v>
      </c>
      <c r="Y54">
        <f>VLOOKUP(CONCATENATE($G54,"-",$F54,"-Couple Only"),'Look-ups'!$Y$4:$AG$35,6,FALSE)</f>
        <v>143.1</v>
      </c>
      <c r="Z54">
        <f>VLOOKUP(CONCATENATE($G54,"-",$F54,"-Couple Only"),'Look-ups'!$Y$4:$AG$35,7,FALSE)</f>
        <v>162.18</v>
      </c>
      <c r="AA54">
        <f>VLOOKUP(CONCATENATE($G54,"-",$F54,"-Couple Only"),'Look-ups'!$Y$4:$AG$35,8,FALSE)</f>
        <v>179.14000000000001</v>
      </c>
      <c r="AB54">
        <f>VLOOKUP(CONCATENATE($G54,"-",$F54,"-Couple Only"),'Look-ups'!$Y$4:$AG$35,9,FALSE)</f>
        <v>224.72</v>
      </c>
      <c r="AC54">
        <v>22</v>
      </c>
      <c r="AD54" t="s">
        <v>169</v>
      </c>
      <c r="AE54" s="260">
        <f>VLOOKUP($AD54,'Look-ups'!$A$122:$G$130,5,FALSE)</f>
        <v>0.08278508771929824</v>
      </c>
      <c r="AF54" s="260">
        <f>VLOOKUP($AD54,'Look-ups'!$A$122:$G$130,6,FALSE)</f>
        <v>0.6069078947368421</v>
      </c>
      <c r="AG54" s="260">
        <f>VLOOKUP($AD54,'Look-ups'!$A$122:$G$130,7,FALSE)</f>
        <v>0.31030701754385964</v>
      </c>
      <c r="AH54" s="264">
        <f>VLOOKUP($AC54,'Look-ups'!$A$50:$AO$118,'Look-ups'!$B$133*4,FALSE)*0.277778</f>
        <v>77.05949414422209</v>
      </c>
      <c r="AI54" s="264">
        <f>VLOOKUP($AC54,'Look-ups'!$A$50:$AO$118,'Look-ups'!$B$133*4+1,FALSE)*0.277778</f>
        <v>9.051685855777936</v>
      </c>
      <c r="AJ54" s="264">
        <f>AE54*$AH54/'Look-ups'!$B$141</f>
        <v>8.339054878868204</v>
      </c>
      <c r="AK54" s="264">
        <f>AF54*$AH54/'Look-ups'!$B$140</f>
        <v>64.06577446651485</v>
      </c>
      <c r="AL54" s="264">
        <f>AG54*$AH54/'Look-ups'!$B$137</f>
        <v>4.554686057396585</v>
      </c>
      <c r="AM54" s="264">
        <f>AI54/'Look-ups'!$B$136</f>
        <v>1.9056180749006182</v>
      </c>
      <c r="AN54" s="263">
        <f>AJ54*VLOOKUP($AD54,'Look-ups'!$A$123:$M$130,10,FALSE)</f>
        <v>2.2631268379595095</v>
      </c>
      <c r="AO54" s="263">
        <f>AK54*VLOOKUP($AD54,'Look-ups'!$A$123:$M$130,9,FALSE)</f>
        <v>7.3876258033107245</v>
      </c>
      <c r="AP54" s="263">
        <f>(AL54+AM54)*VLOOKUP($AD54,'Look-ups'!$A$123:$M$130,8,FALSE)</f>
        <v>1.4240201061464517</v>
      </c>
      <c r="AQ54" s="263">
        <f t="shared" si="0"/>
        <v>11.074772747416686</v>
      </c>
      <c r="AR54" s="265">
        <f>AJ54*VLOOKUP($AD54,'Look-ups'!$A$123:$M$130,11,FALSE)</f>
        <v>0.036025725797032955</v>
      </c>
      <c r="AS54" s="265">
        <f>AK54*VLOOKUP($AD54,'Look-ups'!$A$123:$M$130,12,FALSE)</f>
        <v>11.885046471035427</v>
      </c>
      <c r="AT54" s="265">
        <f>(AL54+AM54)*VLOOKUP($AD54,'Look-ups'!$A$123:$M$130,13,FALSE)</f>
        <v>1.5840665732392742</v>
      </c>
      <c r="AU54" s="265">
        <f t="shared" si="1"/>
        <v>13.505138770071735</v>
      </c>
    </row>
    <row r="55" spans="1:47" ht="15">
      <c r="A55">
        <v>2014</v>
      </c>
      <c r="B55" t="s">
        <v>345</v>
      </c>
      <c r="C55">
        <v>63.9849999999999</v>
      </c>
      <c r="D55">
        <v>11230</v>
      </c>
      <c r="E55">
        <v>175.50988512932747</v>
      </c>
      <c r="F55" t="s">
        <v>173</v>
      </c>
      <c r="G55" t="s">
        <v>169</v>
      </c>
      <c r="H55">
        <f>VLOOKUP(CONCATENATE($G55,"-",$F55,"-",$H$2),'Look-ups'!$O$3:$S$34,5,FALSE)*VLOOKUP(CONCATENATE($F55,"-",$H$2,"-",H$3),'Look-ups'!$I$3:$M$24,5,FALSE)</f>
        <v>206</v>
      </c>
      <c r="I55">
        <f>VLOOKUP(CONCATENATE($G55,"-",$F55,"-",$H$2),'Look-ups'!$O$3:$S$34,5,FALSE)*VLOOKUP(CONCATENATE($F55,"-",$H$2,"-",I$3),'Look-ups'!$I$3:$M$24,5,FALSE)</f>
        <v>309</v>
      </c>
      <c r="J55">
        <f>VLOOKUP(CONCATENATE($G55,"-",$F55,"-",$H$2),'Look-ups'!$O$3:$S$34,5,FALSE)*VLOOKUP(CONCATENATE($F55,"-",$H$2,"-",J$3),'Look-ups'!$I$3:$M$24,5,FALSE)</f>
        <v>360.5</v>
      </c>
      <c r="K55">
        <f>VLOOKUP(CONCATENATE($G55,"-",$F55,"-",$H$2),'Look-ups'!$O$3:$S$34,5,FALSE)*VLOOKUP(CONCATENATE($F55,"-",$H$2,"-",K$3),'Look-ups'!$I$3:$M$24,5,FALSE)</f>
        <v>463.5</v>
      </c>
      <c r="L55">
        <f>VLOOKUP(CONCATENATE($G55,"-",$F55,"-",$H$2),'Look-ups'!$O$3:$S$34,5,FALSE)*VLOOKUP(CONCATENATE($F55,"-",$H$2,"-",L$3),'Look-ups'!$I$3:$M$24,5,FALSE)</f>
        <v>515</v>
      </c>
      <c r="M55">
        <f>VLOOKUP(CONCATENATE($G55,"-",$F55,"-",$H$2),'Look-ups'!$O$3:$S$34,5,FALSE)*VLOOKUP(CONCATENATE($F55,"-",$H$2,"-",M$3),'Look-ups'!$I$3:$M$24,5,FALSE)</f>
        <v>566.5</v>
      </c>
      <c r="N55">
        <f>VLOOKUP(CONCATENATE($G55,"-",$F55,"-",$N$2),'Look-ups'!$O$3:$S$34,5,FALSE)*VLOOKUP(CONCATENATE($F55,"-",$N$2,"-",N$3),'Look-ups'!$I$3:$M$24,5,FALSE)</f>
        <v>207.75</v>
      </c>
      <c r="O55">
        <f>VLOOKUP(CONCATENATE($G55,"-",$F55,"-",$N$2),'Look-ups'!$O$3:$S$34,5,FALSE)*VLOOKUP(CONCATENATE($F55,"-",$N$2,"-",O$3),'Look-ups'!$I$3:$M$24,5,FALSE)</f>
        <v>207.75</v>
      </c>
      <c r="P55">
        <f>VLOOKUP(CONCATENATE($G55,"-",$F55,"-",$N$2),'Look-ups'!$O$3:$S$34,5,FALSE)*VLOOKUP(CONCATENATE($F55,"-",$N$2,"-",P$3),'Look-ups'!$I$3:$M$24,5,FALSE)</f>
        <v>277</v>
      </c>
      <c r="Q55">
        <f>VLOOKUP(CONCATENATE($G55,"-",$F55,"-",$N$2),'Look-ups'!$O$3:$S$34,5,FALSE)*VLOOKUP(CONCATENATE($F55,"-",$N$2,"-",Q$3),'Look-ups'!$I$3:$M$24,5,FALSE)</f>
        <v>356.14285714285717</v>
      </c>
      <c r="R55">
        <f>VLOOKUP(CONCATENATE($G55,"-",$F55,"-",$N$2),'Look-ups'!$O$3:$S$34,5,FALSE)*VLOOKUP(CONCATENATE($F55,"-",$N$2,"-",R$3),'Look-ups'!$I$3:$M$24,5,FALSE)</f>
        <v>405.60714285714283</v>
      </c>
      <c r="S55" s="117">
        <f>VLOOKUP(CONCATENATE($G55,"-",$F55,"-Lone Person"),'Look-ups'!$Y$4:$AG$35,5,FALSE)</f>
        <v>93.28</v>
      </c>
      <c r="T55">
        <f>VLOOKUP(CONCATENATE($G55,"-",$F55,"-Lone Person"),'Look-ups'!$Y$4:$AG$35,6,FALSE)</f>
        <v>133.56</v>
      </c>
      <c r="U55">
        <f>VLOOKUP(CONCATENATE($G55,"-",$F55,"-Lone Person"),'Look-ups'!$Y$4:$AG$35,7,FALSE)</f>
        <v>160.06</v>
      </c>
      <c r="V55">
        <f>VLOOKUP(CONCATENATE($G55,"-",$F55,"-Lone Person"),'Look-ups'!$Y$4:$AG$35,8,FALSE)</f>
        <v>196.10000000000002</v>
      </c>
      <c r="W55">
        <f>VLOOKUP(CONCATENATE($G55,"-",$F55,"-Lone Person"),'Look-ups'!$Y$4:$AG$35,9,FALSE)</f>
        <v>186.56</v>
      </c>
      <c r="X55" s="117">
        <f>VLOOKUP(CONCATENATE($G55,"-",$F55,"-Couple Only"),'Look-ups'!$Y$4:$AG$35,5,FALSE)</f>
        <v>151.58</v>
      </c>
      <c r="Y55">
        <f>VLOOKUP(CONCATENATE($G55,"-",$F55,"-Couple Only"),'Look-ups'!$Y$4:$AG$35,6,FALSE)</f>
        <v>143.1</v>
      </c>
      <c r="Z55">
        <f>VLOOKUP(CONCATENATE($G55,"-",$F55,"-Couple Only"),'Look-ups'!$Y$4:$AG$35,7,FALSE)</f>
        <v>162.18</v>
      </c>
      <c r="AA55">
        <f>VLOOKUP(CONCATENATE($G55,"-",$F55,"-Couple Only"),'Look-ups'!$Y$4:$AG$35,8,FALSE)</f>
        <v>179.14000000000001</v>
      </c>
      <c r="AB55">
        <f>VLOOKUP(CONCATENATE($G55,"-",$F55,"-Couple Only"),'Look-ups'!$Y$4:$AG$35,9,FALSE)</f>
        <v>224.72</v>
      </c>
      <c r="AC55">
        <v>63</v>
      </c>
      <c r="AD55" t="s">
        <v>169</v>
      </c>
      <c r="AE55" s="260">
        <f>VLOOKUP($AD55,'Look-ups'!$A$122:$G$130,5,FALSE)</f>
        <v>0.08278508771929824</v>
      </c>
      <c r="AF55" s="260">
        <f>VLOOKUP($AD55,'Look-ups'!$A$122:$G$130,6,FALSE)</f>
        <v>0.6069078947368421</v>
      </c>
      <c r="AG55" s="260">
        <f>VLOOKUP($AD55,'Look-ups'!$A$122:$G$130,7,FALSE)</f>
        <v>0.31030701754385964</v>
      </c>
      <c r="AH55" s="264">
        <f>VLOOKUP($AC55,'Look-ups'!$A$50:$AO$118,'Look-ups'!$B$133*4,FALSE)*0.277778</f>
        <v>75.83279696014702</v>
      </c>
      <c r="AI55" s="264">
        <f>VLOOKUP($AC55,'Look-ups'!$A$50:$AO$118,'Look-ups'!$B$133*4+1,FALSE)*0.277778</f>
        <v>6.389491039852981</v>
      </c>
      <c r="AJ55" s="264">
        <f>AE55*$AH55/'Look-ups'!$B$141</f>
        <v>8.206306860582359</v>
      </c>
      <c r="AK55" s="264">
        <f>AF55*$AH55/'Look-ups'!$B$140</f>
        <v>63.04592213025922</v>
      </c>
      <c r="AL55" s="264">
        <f>AG55*$AH55/'Look-ups'!$B$137</f>
        <v>4.482180772707102</v>
      </c>
      <c r="AM55" s="264">
        <f>AI55/'Look-ups'!$B$136</f>
        <v>1.3451560083901013</v>
      </c>
      <c r="AN55" s="263">
        <f>AJ55*VLOOKUP($AD55,'Look-ups'!$A$123:$M$130,10,FALSE)</f>
        <v>2.227100500774712</v>
      </c>
      <c r="AO55" s="263">
        <f>AK55*VLOOKUP($AD55,'Look-ups'!$A$123:$M$130,9,FALSE)</f>
        <v>7.2700234251668885</v>
      </c>
      <c r="AP55" s="263">
        <f>(AL55+AM55)*VLOOKUP($AD55,'Look-ups'!$A$123:$M$130,8,FALSE)</f>
        <v>1.2844975362821518</v>
      </c>
      <c r="AQ55" s="263">
        <f t="shared" si="0"/>
        <v>10.781621462223752</v>
      </c>
      <c r="AR55" s="265">
        <f>AJ55*VLOOKUP($AD55,'Look-ups'!$A$123:$M$130,11,FALSE)</f>
        <v>0.0354522383003882</v>
      </c>
      <c r="AS55" s="265">
        <f>AK55*VLOOKUP($AD55,'Look-ups'!$A$123:$M$130,12,FALSE)</f>
        <v>11.695850406351507</v>
      </c>
      <c r="AT55" s="265">
        <f>(AL55+AM55)*VLOOKUP($AD55,'Look-ups'!$A$123:$M$130,13,FALSE)</f>
        <v>1.4288629787250344</v>
      </c>
      <c r="AU55" s="265">
        <f t="shared" si="1"/>
        <v>13.16016562337693</v>
      </c>
    </row>
    <row r="56" spans="1:47" ht="15">
      <c r="A56">
        <v>2015</v>
      </c>
      <c r="B56" t="s">
        <v>346</v>
      </c>
      <c r="C56">
        <v>45.6023</v>
      </c>
      <c r="D56">
        <v>15301</v>
      </c>
      <c r="E56">
        <v>335.5313218850804</v>
      </c>
      <c r="F56" t="s">
        <v>173</v>
      </c>
      <c r="G56" t="s">
        <v>169</v>
      </c>
      <c r="H56">
        <f>VLOOKUP(CONCATENATE($G56,"-",$F56,"-",$H$2),'Look-ups'!$O$3:$S$34,5,FALSE)*VLOOKUP(CONCATENATE($F56,"-",$H$2,"-",H$3),'Look-ups'!$I$3:$M$24,5,FALSE)</f>
        <v>206</v>
      </c>
      <c r="I56">
        <f>VLOOKUP(CONCATENATE($G56,"-",$F56,"-",$H$2),'Look-ups'!$O$3:$S$34,5,FALSE)*VLOOKUP(CONCATENATE($F56,"-",$H$2,"-",I$3),'Look-ups'!$I$3:$M$24,5,FALSE)</f>
        <v>309</v>
      </c>
      <c r="J56">
        <f>VLOOKUP(CONCATENATE($G56,"-",$F56,"-",$H$2),'Look-ups'!$O$3:$S$34,5,FALSE)*VLOOKUP(CONCATENATE($F56,"-",$H$2,"-",J$3),'Look-ups'!$I$3:$M$24,5,FALSE)</f>
        <v>360.5</v>
      </c>
      <c r="K56">
        <f>VLOOKUP(CONCATENATE($G56,"-",$F56,"-",$H$2),'Look-ups'!$O$3:$S$34,5,FALSE)*VLOOKUP(CONCATENATE($F56,"-",$H$2,"-",K$3),'Look-ups'!$I$3:$M$24,5,FALSE)</f>
        <v>463.5</v>
      </c>
      <c r="L56">
        <f>VLOOKUP(CONCATENATE($G56,"-",$F56,"-",$H$2),'Look-ups'!$O$3:$S$34,5,FALSE)*VLOOKUP(CONCATENATE($F56,"-",$H$2,"-",L$3),'Look-ups'!$I$3:$M$24,5,FALSE)</f>
        <v>515</v>
      </c>
      <c r="M56">
        <f>VLOOKUP(CONCATENATE($G56,"-",$F56,"-",$H$2),'Look-ups'!$O$3:$S$34,5,FALSE)*VLOOKUP(CONCATENATE($F56,"-",$H$2,"-",M$3),'Look-ups'!$I$3:$M$24,5,FALSE)</f>
        <v>566.5</v>
      </c>
      <c r="N56">
        <f>VLOOKUP(CONCATENATE($G56,"-",$F56,"-",$N$2),'Look-ups'!$O$3:$S$34,5,FALSE)*VLOOKUP(CONCATENATE($F56,"-",$N$2,"-",N$3),'Look-ups'!$I$3:$M$24,5,FALSE)</f>
        <v>207.75</v>
      </c>
      <c r="O56">
        <f>VLOOKUP(CONCATENATE($G56,"-",$F56,"-",$N$2),'Look-ups'!$O$3:$S$34,5,FALSE)*VLOOKUP(CONCATENATE($F56,"-",$N$2,"-",O$3),'Look-ups'!$I$3:$M$24,5,FALSE)</f>
        <v>207.75</v>
      </c>
      <c r="P56">
        <f>VLOOKUP(CONCATENATE($G56,"-",$F56,"-",$N$2),'Look-ups'!$O$3:$S$34,5,FALSE)*VLOOKUP(CONCATENATE($F56,"-",$N$2,"-",P$3),'Look-ups'!$I$3:$M$24,5,FALSE)</f>
        <v>277</v>
      </c>
      <c r="Q56">
        <f>VLOOKUP(CONCATENATE($G56,"-",$F56,"-",$N$2),'Look-ups'!$O$3:$S$34,5,FALSE)*VLOOKUP(CONCATENATE($F56,"-",$N$2,"-",Q$3),'Look-ups'!$I$3:$M$24,5,FALSE)</f>
        <v>356.14285714285717</v>
      </c>
      <c r="R56">
        <f>VLOOKUP(CONCATENATE($G56,"-",$F56,"-",$N$2),'Look-ups'!$O$3:$S$34,5,FALSE)*VLOOKUP(CONCATENATE($F56,"-",$N$2,"-",R$3),'Look-ups'!$I$3:$M$24,5,FALSE)</f>
        <v>405.60714285714283</v>
      </c>
      <c r="S56" s="117">
        <f>VLOOKUP(CONCATENATE($G56,"-",$F56,"-Lone Person"),'Look-ups'!$Y$4:$AG$35,5,FALSE)</f>
        <v>93.28</v>
      </c>
      <c r="T56">
        <f>VLOOKUP(CONCATENATE($G56,"-",$F56,"-Lone Person"),'Look-ups'!$Y$4:$AG$35,6,FALSE)</f>
        <v>133.56</v>
      </c>
      <c r="U56">
        <f>VLOOKUP(CONCATENATE($G56,"-",$F56,"-Lone Person"),'Look-ups'!$Y$4:$AG$35,7,FALSE)</f>
        <v>160.06</v>
      </c>
      <c r="V56">
        <f>VLOOKUP(CONCATENATE($G56,"-",$F56,"-Lone Person"),'Look-ups'!$Y$4:$AG$35,8,FALSE)</f>
        <v>196.10000000000002</v>
      </c>
      <c r="W56">
        <f>VLOOKUP(CONCATENATE($G56,"-",$F56,"-Lone Person"),'Look-ups'!$Y$4:$AG$35,9,FALSE)</f>
        <v>186.56</v>
      </c>
      <c r="X56" s="117">
        <f>VLOOKUP(CONCATENATE($G56,"-",$F56,"-Couple Only"),'Look-ups'!$Y$4:$AG$35,5,FALSE)</f>
        <v>151.58</v>
      </c>
      <c r="Y56">
        <f>VLOOKUP(CONCATENATE($G56,"-",$F56,"-Couple Only"),'Look-ups'!$Y$4:$AG$35,6,FALSE)</f>
        <v>143.1</v>
      </c>
      <c r="Z56">
        <f>VLOOKUP(CONCATENATE($G56,"-",$F56,"-Couple Only"),'Look-ups'!$Y$4:$AG$35,7,FALSE)</f>
        <v>162.18</v>
      </c>
      <c r="AA56">
        <f>VLOOKUP(CONCATENATE($G56,"-",$F56,"-Couple Only"),'Look-ups'!$Y$4:$AG$35,8,FALSE)</f>
        <v>179.14000000000001</v>
      </c>
      <c r="AB56">
        <f>VLOOKUP(CONCATENATE($G56,"-",$F56,"-Couple Only"),'Look-ups'!$Y$4:$AG$35,9,FALSE)</f>
        <v>224.72</v>
      </c>
      <c r="AC56">
        <v>22</v>
      </c>
      <c r="AD56" t="s">
        <v>169</v>
      </c>
      <c r="AE56" s="260">
        <f>VLOOKUP($AD56,'Look-ups'!$A$122:$G$130,5,FALSE)</f>
        <v>0.08278508771929824</v>
      </c>
      <c r="AF56" s="260">
        <f>VLOOKUP($AD56,'Look-ups'!$A$122:$G$130,6,FALSE)</f>
        <v>0.6069078947368421</v>
      </c>
      <c r="AG56" s="260">
        <f>VLOOKUP($AD56,'Look-ups'!$A$122:$G$130,7,FALSE)</f>
        <v>0.31030701754385964</v>
      </c>
      <c r="AH56" s="264">
        <f>VLOOKUP($AC56,'Look-ups'!$A$50:$AO$118,'Look-ups'!$B$133*4,FALSE)*0.277778</f>
        <v>77.05949414422209</v>
      </c>
      <c r="AI56" s="264">
        <f>VLOOKUP($AC56,'Look-ups'!$A$50:$AO$118,'Look-ups'!$B$133*4+1,FALSE)*0.277778</f>
        <v>9.051685855777936</v>
      </c>
      <c r="AJ56" s="264">
        <f>AE56*$AH56/'Look-ups'!$B$141</f>
        <v>8.339054878868204</v>
      </c>
      <c r="AK56" s="264">
        <f>AF56*$AH56/'Look-ups'!$B$140</f>
        <v>64.06577446651485</v>
      </c>
      <c r="AL56" s="264">
        <f>AG56*$AH56/'Look-ups'!$B$137</f>
        <v>4.554686057396585</v>
      </c>
      <c r="AM56" s="264">
        <f>AI56/'Look-ups'!$B$136</f>
        <v>1.9056180749006182</v>
      </c>
      <c r="AN56" s="263">
        <f>AJ56*VLOOKUP($AD56,'Look-ups'!$A$123:$M$130,10,FALSE)</f>
        <v>2.2631268379595095</v>
      </c>
      <c r="AO56" s="263">
        <f>AK56*VLOOKUP($AD56,'Look-ups'!$A$123:$M$130,9,FALSE)</f>
        <v>7.3876258033107245</v>
      </c>
      <c r="AP56" s="263">
        <f>(AL56+AM56)*VLOOKUP($AD56,'Look-ups'!$A$123:$M$130,8,FALSE)</f>
        <v>1.4240201061464517</v>
      </c>
      <c r="AQ56" s="263">
        <f t="shared" si="0"/>
        <v>11.074772747416686</v>
      </c>
      <c r="AR56" s="265">
        <f>AJ56*VLOOKUP($AD56,'Look-ups'!$A$123:$M$130,11,FALSE)</f>
        <v>0.036025725797032955</v>
      </c>
      <c r="AS56" s="265">
        <f>AK56*VLOOKUP($AD56,'Look-ups'!$A$123:$M$130,12,FALSE)</f>
        <v>11.885046471035427</v>
      </c>
      <c r="AT56" s="265">
        <f>(AL56+AM56)*VLOOKUP($AD56,'Look-ups'!$A$123:$M$130,13,FALSE)</f>
        <v>1.5840665732392742</v>
      </c>
      <c r="AU56" s="265">
        <f t="shared" si="1"/>
        <v>13.505138770071735</v>
      </c>
    </row>
    <row r="57" spans="1:47" ht="15">
      <c r="A57">
        <v>2016</v>
      </c>
      <c r="B57" t="s">
        <v>347</v>
      </c>
      <c r="C57">
        <v>248.905499999999</v>
      </c>
      <c r="D57">
        <v>53841</v>
      </c>
      <c r="E57">
        <v>216.3110096000298</v>
      </c>
      <c r="F57" t="s">
        <v>173</v>
      </c>
      <c r="G57" t="s">
        <v>169</v>
      </c>
      <c r="H57">
        <f>VLOOKUP(CONCATENATE($G57,"-",$F57,"-",$H$2),'Look-ups'!$O$3:$S$34,5,FALSE)*VLOOKUP(CONCATENATE($F57,"-",$H$2,"-",H$3),'Look-ups'!$I$3:$M$24,5,FALSE)</f>
        <v>206</v>
      </c>
      <c r="I57">
        <f>VLOOKUP(CONCATENATE($G57,"-",$F57,"-",$H$2),'Look-ups'!$O$3:$S$34,5,FALSE)*VLOOKUP(CONCATENATE($F57,"-",$H$2,"-",I$3),'Look-ups'!$I$3:$M$24,5,FALSE)</f>
        <v>309</v>
      </c>
      <c r="J57">
        <f>VLOOKUP(CONCATENATE($G57,"-",$F57,"-",$H$2),'Look-ups'!$O$3:$S$34,5,FALSE)*VLOOKUP(CONCATENATE($F57,"-",$H$2,"-",J$3),'Look-ups'!$I$3:$M$24,5,FALSE)</f>
        <v>360.5</v>
      </c>
      <c r="K57">
        <f>VLOOKUP(CONCATENATE($G57,"-",$F57,"-",$H$2),'Look-ups'!$O$3:$S$34,5,FALSE)*VLOOKUP(CONCATENATE($F57,"-",$H$2,"-",K$3),'Look-ups'!$I$3:$M$24,5,FALSE)</f>
        <v>463.5</v>
      </c>
      <c r="L57">
        <f>VLOOKUP(CONCATENATE($G57,"-",$F57,"-",$H$2),'Look-ups'!$O$3:$S$34,5,FALSE)*VLOOKUP(CONCATENATE($F57,"-",$H$2,"-",L$3),'Look-ups'!$I$3:$M$24,5,FALSE)</f>
        <v>515</v>
      </c>
      <c r="M57">
        <f>VLOOKUP(CONCATENATE($G57,"-",$F57,"-",$H$2),'Look-ups'!$O$3:$S$34,5,FALSE)*VLOOKUP(CONCATENATE($F57,"-",$H$2,"-",M$3),'Look-ups'!$I$3:$M$24,5,FALSE)</f>
        <v>566.5</v>
      </c>
      <c r="N57">
        <f>VLOOKUP(CONCATENATE($G57,"-",$F57,"-",$N$2),'Look-ups'!$O$3:$S$34,5,FALSE)*VLOOKUP(CONCATENATE($F57,"-",$N$2,"-",N$3),'Look-ups'!$I$3:$M$24,5,FALSE)</f>
        <v>207.75</v>
      </c>
      <c r="O57">
        <f>VLOOKUP(CONCATENATE($G57,"-",$F57,"-",$N$2),'Look-ups'!$O$3:$S$34,5,FALSE)*VLOOKUP(CONCATENATE($F57,"-",$N$2,"-",O$3),'Look-ups'!$I$3:$M$24,5,FALSE)</f>
        <v>207.75</v>
      </c>
      <c r="P57">
        <f>VLOOKUP(CONCATENATE($G57,"-",$F57,"-",$N$2),'Look-ups'!$O$3:$S$34,5,FALSE)*VLOOKUP(CONCATENATE($F57,"-",$N$2,"-",P$3),'Look-ups'!$I$3:$M$24,5,FALSE)</f>
        <v>277</v>
      </c>
      <c r="Q57">
        <f>VLOOKUP(CONCATENATE($G57,"-",$F57,"-",$N$2),'Look-ups'!$O$3:$S$34,5,FALSE)*VLOOKUP(CONCATENATE($F57,"-",$N$2,"-",Q$3),'Look-ups'!$I$3:$M$24,5,FALSE)</f>
        <v>356.14285714285717</v>
      </c>
      <c r="R57">
        <f>VLOOKUP(CONCATENATE($G57,"-",$F57,"-",$N$2),'Look-ups'!$O$3:$S$34,5,FALSE)*VLOOKUP(CONCATENATE($F57,"-",$N$2,"-",R$3),'Look-ups'!$I$3:$M$24,5,FALSE)</f>
        <v>405.60714285714283</v>
      </c>
      <c r="S57" s="117">
        <f>VLOOKUP(CONCATENATE($G57,"-",$F57,"-Lone Person"),'Look-ups'!$Y$4:$AG$35,5,FALSE)</f>
        <v>93.28</v>
      </c>
      <c r="T57">
        <f>VLOOKUP(CONCATENATE($G57,"-",$F57,"-Lone Person"),'Look-ups'!$Y$4:$AG$35,6,FALSE)</f>
        <v>133.56</v>
      </c>
      <c r="U57">
        <f>VLOOKUP(CONCATENATE($G57,"-",$F57,"-Lone Person"),'Look-ups'!$Y$4:$AG$35,7,FALSE)</f>
        <v>160.06</v>
      </c>
      <c r="V57">
        <f>VLOOKUP(CONCATENATE($G57,"-",$F57,"-Lone Person"),'Look-ups'!$Y$4:$AG$35,8,FALSE)</f>
        <v>196.10000000000002</v>
      </c>
      <c r="W57">
        <f>VLOOKUP(CONCATENATE($G57,"-",$F57,"-Lone Person"),'Look-ups'!$Y$4:$AG$35,9,FALSE)</f>
        <v>186.56</v>
      </c>
      <c r="X57" s="117">
        <f>VLOOKUP(CONCATENATE($G57,"-",$F57,"-Couple Only"),'Look-ups'!$Y$4:$AG$35,5,FALSE)</f>
        <v>151.58</v>
      </c>
      <c r="Y57">
        <f>VLOOKUP(CONCATENATE($G57,"-",$F57,"-Couple Only"),'Look-ups'!$Y$4:$AG$35,6,FALSE)</f>
        <v>143.1</v>
      </c>
      <c r="Z57">
        <f>VLOOKUP(CONCATENATE($G57,"-",$F57,"-Couple Only"),'Look-ups'!$Y$4:$AG$35,7,FALSE)</f>
        <v>162.18</v>
      </c>
      <c r="AA57">
        <f>VLOOKUP(CONCATENATE($G57,"-",$F57,"-Couple Only"),'Look-ups'!$Y$4:$AG$35,8,FALSE)</f>
        <v>179.14000000000001</v>
      </c>
      <c r="AB57">
        <f>VLOOKUP(CONCATENATE($G57,"-",$F57,"-Couple Only"),'Look-ups'!$Y$4:$AG$35,9,FALSE)</f>
        <v>224.72</v>
      </c>
      <c r="AC57">
        <v>66</v>
      </c>
      <c r="AD57" t="s">
        <v>169</v>
      </c>
      <c r="AE57" s="260">
        <f>VLOOKUP($AD57,'Look-ups'!$A$122:$G$130,5,FALSE)</f>
        <v>0.08278508771929824</v>
      </c>
      <c r="AF57" s="260">
        <f>VLOOKUP($AD57,'Look-ups'!$A$122:$G$130,6,FALSE)</f>
        <v>0.6069078947368421</v>
      </c>
      <c r="AG57" s="260">
        <f>VLOOKUP($AD57,'Look-ups'!$A$122:$G$130,7,FALSE)</f>
        <v>0.31030701754385964</v>
      </c>
      <c r="AH57" s="264">
        <f>VLOOKUP($AC57,'Look-ups'!$A$50:$AO$118,'Look-ups'!$B$133*4,FALSE)*0.277778</f>
        <v>110.9588722922091</v>
      </c>
      <c r="AI57" s="264">
        <f>VLOOKUP($AC57,'Look-ups'!$A$50:$AO$118,'Look-ups'!$B$133*4+1,FALSE)*0.277778</f>
        <v>12.930115707790923</v>
      </c>
      <c r="AJ57" s="264">
        <f>AE57*$AH57/'Look-ups'!$B$141</f>
        <v>12.007503236529336</v>
      </c>
      <c r="AK57" s="264">
        <f>AF57*$AH57/'Look-ups'!$B$140</f>
        <v>92.24906244553253</v>
      </c>
      <c r="AL57" s="264">
        <f>AG57*$AH57/'Look-ups'!$B$137</f>
        <v>6.55834604400484</v>
      </c>
      <c r="AM57" s="264">
        <f>AI57/'Look-ups'!$B$136</f>
        <v>2.722129622692826</v>
      </c>
      <c r="AN57" s="263">
        <f>AJ57*VLOOKUP($AD57,'Look-ups'!$A$123:$M$130,10,FALSE)</f>
        <v>3.258702961691433</v>
      </c>
      <c r="AO57" s="263">
        <f>AK57*VLOOKUP($AD57,'Look-ups'!$A$123:$M$130,9,FALSE)</f>
        <v>10.637529316219188</v>
      </c>
      <c r="AP57" s="263">
        <f>(AL57+AM57)*VLOOKUP($AD57,'Look-ups'!$A$123:$M$130,8,FALSE)</f>
        <v>2.0456597202461855</v>
      </c>
      <c r="AQ57" s="263">
        <f t="shared" si="0"/>
        <v>15.941891998156807</v>
      </c>
      <c r="AR57" s="265">
        <f>AJ57*VLOOKUP($AD57,'Look-ups'!$A$123:$M$130,11,FALSE)</f>
        <v>0.051873866450067335</v>
      </c>
      <c r="AS57" s="265">
        <f>AK57*VLOOKUP($AD57,'Look-ups'!$A$123:$M$130,12,FALSE)</f>
        <v>17.113418251856903</v>
      </c>
      <c r="AT57" s="265">
        <f>(AL57+AM57)*VLOOKUP($AD57,'Look-ups'!$A$123:$M$130,13,FALSE)</f>
        <v>2.2755726334742676</v>
      </c>
      <c r="AU57" s="265">
        <f t="shared" si="1"/>
        <v>19.440864751781238</v>
      </c>
    </row>
    <row r="58" spans="1:47" ht="15">
      <c r="A58">
        <v>2017</v>
      </c>
      <c r="B58" t="s">
        <v>348</v>
      </c>
      <c r="C58">
        <v>126.590299999999</v>
      </c>
      <c r="D58">
        <v>11186</v>
      </c>
      <c r="E58">
        <v>88.36380038597024</v>
      </c>
      <c r="F58" t="s">
        <v>173</v>
      </c>
      <c r="G58" t="s">
        <v>169</v>
      </c>
      <c r="H58">
        <f>VLOOKUP(CONCATENATE($G58,"-",$F58,"-",$H$2),'Look-ups'!$O$3:$S$34,5,FALSE)*VLOOKUP(CONCATENATE($F58,"-",$H$2,"-",H$3),'Look-ups'!$I$3:$M$24,5,FALSE)</f>
        <v>206</v>
      </c>
      <c r="I58">
        <f>VLOOKUP(CONCATENATE($G58,"-",$F58,"-",$H$2),'Look-ups'!$O$3:$S$34,5,FALSE)*VLOOKUP(CONCATENATE($F58,"-",$H$2,"-",I$3),'Look-ups'!$I$3:$M$24,5,FALSE)</f>
        <v>309</v>
      </c>
      <c r="J58">
        <f>VLOOKUP(CONCATENATE($G58,"-",$F58,"-",$H$2),'Look-ups'!$O$3:$S$34,5,FALSE)*VLOOKUP(CONCATENATE($F58,"-",$H$2,"-",J$3),'Look-ups'!$I$3:$M$24,5,FALSE)</f>
        <v>360.5</v>
      </c>
      <c r="K58">
        <f>VLOOKUP(CONCATENATE($G58,"-",$F58,"-",$H$2),'Look-ups'!$O$3:$S$34,5,FALSE)*VLOOKUP(CONCATENATE($F58,"-",$H$2,"-",K$3),'Look-ups'!$I$3:$M$24,5,FALSE)</f>
        <v>463.5</v>
      </c>
      <c r="L58">
        <f>VLOOKUP(CONCATENATE($G58,"-",$F58,"-",$H$2),'Look-ups'!$O$3:$S$34,5,FALSE)*VLOOKUP(CONCATENATE($F58,"-",$H$2,"-",L$3),'Look-ups'!$I$3:$M$24,5,FALSE)</f>
        <v>515</v>
      </c>
      <c r="M58">
        <f>VLOOKUP(CONCATENATE($G58,"-",$F58,"-",$H$2),'Look-ups'!$O$3:$S$34,5,FALSE)*VLOOKUP(CONCATENATE($F58,"-",$H$2,"-",M$3),'Look-ups'!$I$3:$M$24,5,FALSE)</f>
        <v>566.5</v>
      </c>
      <c r="N58">
        <f>VLOOKUP(CONCATENATE($G58,"-",$F58,"-",$N$2),'Look-ups'!$O$3:$S$34,5,FALSE)*VLOOKUP(CONCATENATE($F58,"-",$N$2,"-",N$3),'Look-ups'!$I$3:$M$24,5,FALSE)</f>
        <v>207.75</v>
      </c>
      <c r="O58">
        <f>VLOOKUP(CONCATENATE($G58,"-",$F58,"-",$N$2),'Look-ups'!$O$3:$S$34,5,FALSE)*VLOOKUP(CONCATENATE($F58,"-",$N$2,"-",O$3),'Look-ups'!$I$3:$M$24,5,FALSE)</f>
        <v>207.75</v>
      </c>
      <c r="P58">
        <f>VLOOKUP(CONCATENATE($G58,"-",$F58,"-",$N$2),'Look-ups'!$O$3:$S$34,5,FALSE)*VLOOKUP(CONCATENATE($F58,"-",$N$2,"-",P$3),'Look-ups'!$I$3:$M$24,5,FALSE)</f>
        <v>277</v>
      </c>
      <c r="Q58">
        <f>VLOOKUP(CONCATENATE($G58,"-",$F58,"-",$N$2),'Look-ups'!$O$3:$S$34,5,FALSE)*VLOOKUP(CONCATENATE($F58,"-",$N$2,"-",Q$3),'Look-ups'!$I$3:$M$24,5,FALSE)</f>
        <v>356.14285714285717</v>
      </c>
      <c r="R58">
        <f>VLOOKUP(CONCATENATE($G58,"-",$F58,"-",$N$2),'Look-ups'!$O$3:$S$34,5,FALSE)*VLOOKUP(CONCATENATE($F58,"-",$N$2,"-",R$3),'Look-ups'!$I$3:$M$24,5,FALSE)</f>
        <v>405.60714285714283</v>
      </c>
      <c r="S58" s="117">
        <f>VLOOKUP(CONCATENATE($G58,"-",$F58,"-Lone Person"),'Look-ups'!$Y$4:$AG$35,5,FALSE)</f>
        <v>93.28</v>
      </c>
      <c r="T58">
        <f>VLOOKUP(CONCATENATE($G58,"-",$F58,"-Lone Person"),'Look-ups'!$Y$4:$AG$35,6,FALSE)</f>
        <v>133.56</v>
      </c>
      <c r="U58">
        <f>VLOOKUP(CONCATENATE($G58,"-",$F58,"-Lone Person"),'Look-ups'!$Y$4:$AG$35,7,FALSE)</f>
        <v>160.06</v>
      </c>
      <c r="V58">
        <f>VLOOKUP(CONCATENATE($G58,"-",$F58,"-Lone Person"),'Look-ups'!$Y$4:$AG$35,8,FALSE)</f>
        <v>196.10000000000002</v>
      </c>
      <c r="W58">
        <f>VLOOKUP(CONCATENATE($G58,"-",$F58,"-Lone Person"),'Look-ups'!$Y$4:$AG$35,9,FALSE)</f>
        <v>186.56</v>
      </c>
      <c r="X58" s="117">
        <f>VLOOKUP(CONCATENATE($G58,"-",$F58,"-Couple Only"),'Look-ups'!$Y$4:$AG$35,5,FALSE)</f>
        <v>151.58</v>
      </c>
      <c r="Y58">
        <f>VLOOKUP(CONCATENATE($G58,"-",$F58,"-Couple Only"),'Look-ups'!$Y$4:$AG$35,6,FALSE)</f>
        <v>143.1</v>
      </c>
      <c r="Z58">
        <f>VLOOKUP(CONCATENATE($G58,"-",$F58,"-Couple Only"),'Look-ups'!$Y$4:$AG$35,7,FALSE)</f>
        <v>162.18</v>
      </c>
      <c r="AA58">
        <f>VLOOKUP(CONCATENATE($G58,"-",$F58,"-Couple Only"),'Look-ups'!$Y$4:$AG$35,8,FALSE)</f>
        <v>179.14000000000001</v>
      </c>
      <c r="AB58">
        <f>VLOOKUP(CONCATENATE($G58,"-",$F58,"-Couple Only"),'Look-ups'!$Y$4:$AG$35,9,FALSE)</f>
        <v>224.72</v>
      </c>
      <c r="AC58">
        <v>27</v>
      </c>
      <c r="AD58" t="s">
        <v>169</v>
      </c>
      <c r="AE58" s="260">
        <f>VLOOKUP($AD58,'Look-ups'!$A$122:$G$130,5,FALSE)</f>
        <v>0.08278508771929824</v>
      </c>
      <c r="AF58" s="260">
        <f>VLOOKUP($AD58,'Look-ups'!$A$122:$G$130,6,FALSE)</f>
        <v>0.6069078947368421</v>
      </c>
      <c r="AG58" s="260">
        <f>VLOOKUP($AD58,'Look-ups'!$A$122:$G$130,7,FALSE)</f>
        <v>0.31030701754385964</v>
      </c>
      <c r="AH58" s="264">
        <f>VLOOKUP($AC58,'Look-ups'!$A$50:$AO$118,'Look-ups'!$B$133*4,FALSE)*0.277778</f>
        <v>41.49085090441251</v>
      </c>
      <c r="AI58" s="264">
        <f>VLOOKUP($AC58,'Look-ups'!$A$50:$AO$118,'Look-ups'!$B$133*4+1,FALSE)*0.277778</f>
        <v>31.564763095587505</v>
      </c>
      <c r="AJ58" s="264">
        <f>AE58*$AH58/'Look-ups'!$B$141</f>
        <v>4.4899656623138755</v>
      </c>
      <c r="AK58" s="264">
        <f>AF58*$AH58/'Look-ups'!$B$140</f>
        <v>34.49469174416055</v>
      </c>
      <c r="AL58" s="264">
        <f>AG58*$AH58/'Look-ups'!$B$137</f>
        <v>2.452362323715276</v>
      </c>
      <c r="AM58" s="264">
        <f>AI58/'Look-ups'!$B$136</f>
        <v>6.6452132832815805</v>
      </c>
      <c r="AN58" s="263">
        <f>AJ58*VLOOKUP($AD58,'Look-ups'!$A$123:$M$130,10,FALSE)</f>
        <v>1.2185267922446266</v>
      </c>
      <c r="AO58" s="263">
        <f>AK58*VLOOKUP($AD58,'Look-ups'!$A$123:$M$130,9,FALSE)</f>
        <v>3.977691316907493</v>
      </c>
      <c r="AP58" s="263">
        <f>(AL58+AM58)*VLOOKUP($AD58,'Look-ups'!$A$123:$M$130,8,FALSE)</f>
        <v>2.005343760332279</v>
      </c>
      <c r="AQ58" s="263">
        <f t="shared" si="0"/>
        <v>7.201561869484398</v>
      </c>
      <c r="AR58" s="265">
        <f>AJ58*VLOOKUP($AD58,'Look-ups'!$A$123:$M$130,11,FALSE)</f>
        <v>0.019397194782649854</v>
      </c>
      <c r="AS58" s="265">
        <f>AK58*VLOOKUP($AD58,'Look-ups'!$A$123:$M$130,12,FALSE)</f>
        <v>6.3992204542484545</v>
      </c>
      <c r="AT58" s="265">
        <f>(AL58+AM58)*VLOOKUP($AD58,'Look-ups'!$A$123:$M$130,13,FALSE)</f>
        <v>2.230725538835629</v>
      </c>
      <c r="AU58" s="265">
        <f t="shared" si="1"/>
        <v>8.649343187866734</v>
      </c>
    </row>
    <row r="59" spans="1:47" ht="15">
      <c r="A59">
        <v>2018</v>
      </c>
      <c r="B59" t="s">
        <v>349</v>
      </c>
      <c r="C59">
        <v>235.158899999999</v>
      </c>
      <c r="D59">
        <v>43252</v>
      </c>
      <c r="E59">
        <v>183.92669807521716</v>
      </c>
      <c r="F59" t="s">
        <v>173</v>
      </c>
      <c r="G59" t="s">
        <v>169</v>
      </c>
      <c r="H59">
        <f>VLOOKUP(CONCATENATE($G59,"-",$F59,"-",$H$2),'Look-ups'!$O$3:$S$34,5,FALSE)*VLOOKUP(CONCATENATE($F59,"-",$H$2,"-",H$3),'Look-ups'!$I$3:$M$24,5,FALSE)</f>
        <v>206</v>
      </c>
      <c r="I59">
        <f>VLOOKUP(CONCATENATE($G59,"-",$F59,"-",$H$2),'Look-ups'!$O$3:$S$34,5,FALSE)*VLOOKUP(CONCATENATE($F59,"-",$H$2,"-",I$3),'Look-ups'!$I$3:$M$24,5,FALSE)</f>
        <v>309</v>
      </c>
      <c r="J59">
        <f>VLOOKUP(CONCATENATE($G59,"-",$F59,"-",$H$2),'Look-ups'!$O$3:$S$34,5,FALSE)*VLOOKUP(CONCATENATE($F59,"-",$H$2,"-",J$3),'Look-ups'!$I$3:$M$24,5,FALSE)</f>
        <v>360.5</v>
      </c>
      <c r="K59">
        <f>VLOOKUP(CONCATENATE($G59,"-",$F59,"-",$H$2),'Look-ups'!$O$3:$S$34,5,FALSE)*VLOOKUP(CONCATENATE($F59,"-",$H$2,"-",K$3),'Look-ups'!$I$3:$M$24,5,FALSE)</f>
        <v>463.5</v>
      </c>
      <c r="L59">
        <f>VLOOKUP(CONCATENATE($G59,"-",$F59,"-",$H$2),'Look-ups'!$O$3:$S$34,5,FALSE)*VLOOKUP(CONCATENATE($F59,"-",$H$2,"-",L$3),'Look-ups'!$I$3:$M$24,5,FALSE)</f>
        <v>515</v>
      </c>
      <c r="M59">
        <f>VLOOKUP(CONCATENATE($G59,"-",$F59,"-",$H$2),'Look-ups'!$O$3:$S$34,5,FALSE)*VLOOKUP(CONCATENATE($F59,"-",$H$2,"-",M$3),'Look-ups'!$I$3:$M$24,5,FALSE)</f>
        <v>566.5</v>
      </c>
      <c r="N59">
        <f>VLOOKUP(CONCATENATE($G59,"-",$F59,"-",$N$2),'Look-ups'!$O$3:$S$34,5,FALSE)*VLOOKUP(CONCATENATE($F59,"-",$N$2,"-",N$3),'Look-ups'!$I$3:$M$24,5,FALSE)</f>
        <v>207.75</v>
      </c>
      <c r="O59">
        <f>VLOOKUP(CONCATENATE($G59,"-",$F59,"-",$N$2),'Look-ups'!$O$3:$S$34,5,FALSE)*VLOOKUP(CONCATENATE($F59,"-",$N$2,"-",O$3),'Look-ups'!$I$3:$M$24,5,FALSE)</f>
        <v>207.75</v>
      </c>
      <c r="P59">
        <f>VLOOKUP(CONCATENATE($G59,"-",$F59,"-",$N$2),'Look-ups'!$O$3:$S$34,5,FALSE)*VLOOKUP(CONCATENATE($F59,"-",$N$2,"-",P$3),'Look-ups'!$I$3:$M$24,5,FALSE)</f>
        <v>277</v>
      </c>
      <c r="Q59">
        <f>VLOOKUP(CONCATENATE($G59,"-",$F59,"-",$N$2),'Look-ups'!$O$3:$S$34,5,FALSE)*VLOOKUP(CONCATENATE($F59,"-",$N$2,"-",Q$3),'Look-ups'!$I$3:$M$24,5,FALSE)</f>
        <v>356.14285714285717</v>
      </c>
      <c r="R59">
        <f>VLOOKUP(CONCATENATE($G59,"-",$F59,"-",$N$2),'Look-ups'!$O$3:$S$34,5,FALSE)*VLOOKUP(CONCATENATE($F59,"-",$N$2,"-",R$3),'Look-ups'!$I$3:$M$24,5,FALSE)</f>
        <v>405.60714285714283</v>
      </c>
      <c r="S59" s="117">
        <f>VLOOKUP(CONCATENATE($G59,"-",$F59,"-Lone Person"),'Look-ups'!$Y$4:$AG$35,5,FALSE)</f>
        <v>93.28</v>
      </c>
      <c r="T59">
        <f>VLOOKUP(CONCATENATE($G59,"-",$F59,"-Lone Person"),'Look-ups'!$Y$4:$AG$35,6,FALSE)</f>
        <v>133.56</v>
      </c>
      <c r="U59">
        <f>VLOOKUP(CONCATENATE($G59,"-",$F59,"-Lone Person"),'Look-ups'!$Y$4:$AG$35,7,FALSE)</f>
        <v>160.06</v>
      </c>
      <c r="V59">
        <f>VLOOKUP(CONCATENATE($G59,"-",$F59,"-Lone Person"),'Look-ups'!$Y$4:$AG$35,8,FALSE)</f>
        <v>196.10000000000002</v>
      </c>
      <c r="W59">
        <f>VLOOKUP(CONCATENATE($G59,"-",$F59,"-Lone Person"),'Look-ups'!$Y$4:$AG$35,9,FALSE)</f>
        <v>186.56</v>
      </c>
      <c r="X59" s="117">
        <f>VLOOKUP(CONCATENATE($G59,"-",$F59,"-Couple Only"),'Look-ups'!$Y$4:$AG$35,5,FALSE)</f>
        <v>151.58</v>
      </c>
      <c r="Y59">
        <f>VLOOKUP(CONCATENATE($G59,"-",$F59,"-Couple Only"),'Look-ups'!$Y$4:$AG$35,6,FALSE)</f>
        <v>143.1</v>
      </c>
      <c r="Z59">
        <f>VLOOKUP(CONCATENATE($G59,"-",$F59,"-Couple Only"),'Look-ups'!$Y$4:$AG$35,7,FALSE)</f>
        <v>162.18</v>
      </c>
      <c r="AA59">
        <f>VLOOKUP(CONCATENATE($G59,"-",$F59,"-Couple Only"),'Look-ups'!$Y$4:$AG$35,8,FALSE)</f>
        <v>179.14000000000001</v>
      </c>
      <c r="AB59">
        <f>VLOOKUP(CONCATENATE($G59,"-",$F59,"-Couple Only"),'Look-ups'!$Y$4:$AG$35,9,FALSE)</f>
        <v>224.72</v>
      </c>
      <c r="AC59">
        <v>22</v>
      </c>
      <c r="AD59" t="s">
        <v>169</v>
      </c>
      <c r="AE59" s="260">
        <f>VLOOKUP($AD59,'Look-ups'!$A$122:$G$130,5,FALSE)</f>
        <v>0.08278508771929824</v>
      </c>
      <c r="AF59" s="260">
        <f>VLOOKUP($AD59,'Look-ups'!$A$122:$G$130,6,FALSE)</f>
        <v>0.6069078947368421</v>
      </c>
      <c r="AG59" s="260">
        <f>VLOOKUP($AD59,'Look-ups'!$A$122:$G$130,7,FALSE)</f>
        <v>0.31030701754385964</v>
      </c>
      <c r="AH59" s="264">
        <f>VLOOKUP($AC59,'Look-ups'!$A$50:$AO$118,'Look-ups'!$B$133*4,FALSE)*0.277778</f>
        <v>77.05949414422209</v>
      </c>
      <c r="AI59" s="264">
        <f>VLOOKUP($AC59,'Look-ups'!$A$50:$AO$118,'Look-ups'!$B$133*4+1,FALSE)*0.277778</f>
        <v>9.051685855777936</v>
      </c>
      <c r="AJ59" s="264">
        <f>AE59*$AH59/'Look-ups'!$B$141</f>
        <v>8.339054878868204</v>
      </c>
      <c r="AK59" s="264">
        <f>AF59*$AH59/'Look-ups'!$B$140</f>
        <v>64.06577446651485</v>
      </c>
      <c r="AL59" s="264">
        <f>AG59*$AH59/'Look-ups'!$B$137</f>
        <v>4.554686057396585</v>
      </c>
      <c r="AM59" s="264">
        <f>AI59/'Look-ups'!$B$136</f>
        <v>1.9056180749006182</v>
      </c>
      <c r="AN59" s="263">
        <f>AJ59*VLOOKUP($AD59,'Look-ups'!$A$123:$M$130,10,FALSE)</f>
        <v>2.2631268379595095</v>
      </c>
      <c r="AO59" s="263">
        <f>AK59*VLOOKUP($AD59,'Look-ups'!$A$123:$M$130,9,FALSE)</f>
        <v>7.3876258033107245</v>
      </c>
      <c r="AP59" s="263">
        <f>(AL59+AM59)*VLOOKUP($AD59,'Look-ups'!$A$123:$M$130,8,FALSE)</f>
        <v>1.4240201061464517</v>
      </c>
      <c r="AQ59" s="263">
        <f t="shared" si="0"/>
        <v>11.074772747416686</v>
      </c>
      <c r="AR59" s="265">
        <f>AJ59*VLOOKUP($AD59,'Look-ups'!$A$123:$M$130,11,FALSE)</f>
        <v>0.036025725797032955</v>
      </c>
      <c r="AS59" s="265">
        <f>AK59*VLOOKUP($AD59,'Look-ups'!$A$123:$M$130,12,FALSE)</f>
        <v>11.885046471035427</v>
      </c>
      <c r="AT59" s="265">
        <f>(AL59+AM59)*VLOOKUP($AD59,'Look-ups'!$A$123:$M$130,13,FALSE)</f>
        <v>1.5840665732392742</v>
      </c>
      <c r="AU59" s="265">
        <f t="shared" si="1"/>
        <v>13.505138770071735</v>
      </c>
    </row>
    <row r="60" spans="1:47" ht="15">
      <c r="A60">
        <v>2019</v>
      </c>
      <c r="B60" t="s">
        <v>350</v>
      </c>
      <c r="C60">
        <v>57.5835999999999</v>
      </c>
      <c r="D60">
        <v>19882</v>
      </c>
      <c r="E60">
        <v>345.2719176987899</v>
      </c>
      <c r="F60" t="s">
        <v>173</v>
      </c>
      <c r="G60" t="s">
        <v>169</v>
      </c>
      <c r="H60">
        <f>VLOOKUP(CONCATENATE($G60,"-",$F60,"-",$H$2),'Look-ups'!$O$3:$S$34,5,FALSE)*VLOOKUP(CONCATENATE($F60,"-",$H$2,"-",H$3),'Look-ups'!$I$3:$M$24,5,FALSE)</f>
        <v>206</v>
      </c>
      <c r="I60">
        <f>VLOOKUP(CONCATENATE($G60,"-",$F60,"-",$H$2),'Look-ups'!$O$3:$S$34,5,FALSE)*VLOOKUP(CONCATENATE($F60,"-",$H$2,"-",I$3),'Look-ups'!$I$3:$M$24,5,FALSE)</f>
        <v>309</v>
      </c>
      <c r="J60">
        <f>VLOOKUP(CONCATENATE($G60,"-",$F60,"-",$H$2),'Look-ups'!$O$3:$S$34,5,FALSE)*VLOOKUP(CONCATENATE($F60,"-",$H$2,"-",J$3),'Look-ups'!$I$3:$M$24,5,FALSE)</f>
        <v>360.5</v>
      </c>
      <c r="K60">
        <f>VLOOKUP(CONCATENATE($G60,"-",$F60,"-",$H$2),'Look-ups'!$O$3:$S$34,5,FALSE)*VLOOKUP(CONCATENATE($F60,"-",$H$2,"-",K$3),'Look-ups'!$I$3:$M$24,5,FALSE)</f>
        <v>463.5</v>
      </c>
      <c r="L60">
        <f>VLOOKUP(CONCATENATE($G60,"-",$F60,"-",$H$2),'Look-ups'!$O$3:$S$34,5,FALSE)*VLOOKUP(CONCATENATE($F60,"-",$H$2,"-",L$3),'Look-ups'!$I$3:$M$24,5,FALSE)</f>
        <v>515</v>
      </c>
      <c r="M60">
        <f>VLOOKUP(CONCATENATE($G60,"-",$F60,"-",$H$2),'Look-ups'!$O$3:$S$34,5,FALSE)*VLOOKUP(CONCATENATE($F60,"-",$H$2,"-",M$3),'Look-ups'!$I$3:$M$24,5,FALSE)</f>
        <v>566.5</v>
      </c>
      <c r="N60">
        <f>VLOOKUP(CONCATENATE($G60,"-",$F60,"-",$N$2),'Look-ups'!$O$3:$S$34,5,FALSE)*VLOOKUP(CONCATENATE($F60,"-",$N$2,"-",N$3),'Look-ups'!$I$3:$M$24,5,FALSE)</f>
        <v>207.75</v>
      </c>
      <c r="O60">
        <f>VLOOKUP(CONCATENATE($G60,"-",$F60,"-",$N$2),'Look-ups'!$O$3:$S$34,5,FALSE)*VLOOKUP(CONCATENATE($F60,"-",$N$2,"-",O$3),'Look-ups'!$I$3:$M$24,5,FALSE)</f>
        <v>207.75</v>
      </c>
      <c r="P60">
        <f>VLOOKUP(CONCATENATE($G60,"-",$F60,"-",$N$2),'Look-ups'!$O$3:$S$34,5,FALSE)*VLOOKUP(CONCATENATE($F60,"-",$N$2,"-",P$3),'Look-ups'!$I$3:$M$24,5,FALSE)</f>
        <v>277</v>
      </c>
      <c r="Q60">
        <f>VLOOKUP(CONCATENATE($G60,"-",$F60,"-",$N$2),'Look-ups'!$O$3:$S$34,5,FALSE)*VLOOKUP(CONCATENATE($F60,"-",$N$2,"-",Q$3),'Look-ups'!$I$3:$M$24,5,FALSE)</f>
        <v>356.14285714285717</v>
      </c>
      <c r="R60">
        <f>VLOOKUP(CONCATENATE($G60,"-",$F60,"-",$N$2),'Look-ups'!$O$3:$S$34,5,FALSE)*VLOOKUP(CONCATENATE($F60,"-",$N$2,"-",R$3),'Look-ups'!$I$3:$M$24,5,FALSE)</f>
        <v>405.60714285714283</v>
      </c>
      <c r="S60" s="117">
        <f>VLOOKUP(CONCATENATE($G60,"-",$F60,"-Lone Person"),'Look-ups'!$Y$4:$AG$35,5,FALSE)</f>
        <v>93.28</v>
      </c>
      <c r="T60">
        <f>VLOOKUP(CONCATENATE($G60,"-",$F60,"-Lone Person"),'Look-ups'!$Y$4:$AG$35,6,FALSE)</f>
        <v>133.56</v>
      </c>
      <c r="U60">
        <f>VLOOKUP(CONCATENATE($G60,"-",$F60,"-Lone Person"),'Look-ups'!$Y$4:$AG$35,7,FALSE)</f>
        <v>160.06</v>
      </c>
      <c r="V60">
        <f>VLOOKUP(CONCATENATE($G60,"-",$F60,"-Lone Person"),'Look-ups'!$Y$4:$AG$35,8,FALSE)</f>
        <v>196.10000000000002</v>
      </c>
      <c r="W60">
        <f>VLOOKUP(CONCATENATE($G60,"-",$F60,"-Lone Person"),'Look-ups'!$Y$4:$AG$35,9,FALSE)</f>
        <v>186.56</v>
      </c>
      <c r="X60" s="117">
        <f>VLOOKUP(CONCATENATE($G60,"-",$F60,"-Couple Only"),'Look-ups'!$Y$4:$AG$35,5,FALSE)</f>
        <v>151.58</v>
      </c>
      <c r="Y60">
        <f>VLOOKUP(CONCATENATE($G60,"-",$F60,"-Couple Only"),'Look-ups'!$Y$4:$AG$35,6,FALSE)</f>
        <v>143.1</v>
      </c>
      <c r="Z60">
        <f>VLOOKUP(CONCATENATE($G60,"-",$F60,"-Couple Only"),'Look-ups'!$Y$4:$AG$35,7,FALSE)</f>
        <v>162.18</v>
      </c>
      <c r="AA60">
        <f>VLOOKUP(CONCATENATE($G60,"-",$F60,"-Couple Only"),'Look-ups'!$Y$4:$AG$35,8,FALSE)</f>
        <v>179.14000000000001</v>
      </c>
      <c r="AB60">
        <f>VLOOKUP(CONCATENATE($G60,"-",$F60,"-Couple Only"),'Look-ups'!$Y$4:$AG$35,9,FALSE)</f>
        <v>224.72</v>
      </c>
      <c r="AC60">
        <v>66</v>
      </c>
      <c r="AD60" t="s">
        <v>169</v>
      </c>
      <c r="AE60" s="260">
        <f>VLOOKUP($AD60,'Look-ups'!$A$122:$G$130,5,FALSE)</f>
        <v>0.08278508771929824</v>
      </c>
      <c r="AF60" s="260">
        <f>VLOOKUP($AD60,'Look-ups'!$A$122:$G$130,6,FALSE)</f>
        <v>0.6069078947368421</v>
      </c>
      <c r="AG60" s="260">
        <f>VLOOKUP($AD60,'Look-ups'!$A$122:$G$130,7,FALSE)</f>
        <v>0.31030701754385964</v>
      </c>
      <c r="AH60" s="264">
        <f>VLOOKUP($AC60,'Look-ups'!$A$50:$AO$118,'Look-ups'!$B$133*4,FALSE)*0.277778</f>
        <v>110.9588722922091</v>
      </c>
      <c r="AI60" s="264">
        <f>VLOOKUP($AC60,'Look-ups'!$A$50:$AO$118,'Look-ups'!$B$133*4+1,FALSE)*0.277778</f>
        <v>12.930115707790923</v>
      </c>
      <c r="AJ60" s="264">
        <f>AE60*$AH60/'Look-ups'!$B$141</f>
        <v>12.007503236529336</v>
      </c>
      <c r="AK60" s="264">
        <f>AF60*$AH60/'Look-ups'!$B$140</f>
        <v>92.24906244553253</v>
      </c>
      <c r="AL60" s="264">
        <f>AG60*$AH60/'Look-ups'!$B$137</f>
        <v>6.55834604400484</v>
      </c>
      <c r="AM60" s="264">
        <f>AI60/'Look-ups'!$B$136</f>
        <v>2.722129622692826</v>
      </c>
      <c r="AN60" s="263">
        <f>AJ60*VLOOKUP($AD60,'Look-ups'!$A$123:$M$130,10,FALSE)</f>
        <v>3.258702961691433</v>
      </c>
      <c r="AO60" s="263">
        <f>AK60*VLOOKUP($AD60,'Look-ups'!$A$123:$M$130,9,FALSE)</f>
        <v>10.637529316219188</v>
      </c>
      <c r="AP60" s="263">
        <f>(AL60+AM60)*VLOOKUP($AD60,'Look-ups'!$A$123:$M$130,8,FALSE)</f>
        <v>2.0456597202461855</v>
      </c>
      <c r="AQ60" s="263">
        <f t="shared" si="0"/>
        <v>15.941891998156807</v>
      </c>
      <c r="AR60" s="265">
        <f>AJ60*VLOOKUP($AD60,'Look-ups'!$A$123:$M$130,11,FALSE)</f>
        <v>0.051873866450067335</v>
      </c>
      <c r="AS60" s="265">
        <f>AK60*VLOOKUP($AD60,'Look-ups'!$A$123:$M$130,12,FALSE)</f>
        <v>17.113418251856903</v>
      </c>
      <c r="AT60" s="265">
        <f>(AL60+AM60)*VLOOKUP($AD60,'Look-ups'!$A$123:$M$130,13,FALSE)</f>
        <v>2.2755726334742676</v>
      </c>
      <c r="AU60" s="265">
        <f t="shared" si="1"/>
        <v>19.440864751781238</v>
      </c>
    </row>
    <row r="61" spans="1:47" ht="15">
      <c r="A61">
        <v>2020</v>
      </c>
      <c r="B61" t="s">
        <v>351</v>
      </c>
      <c r="C61">
        <v>678.985099999999</v>
      </c>
      <c r="D61">
        <v>42827</v>
      </c>
      <c r="E61">
        <v>63.075021823012115</v>
      </c>
      <c r="F61" t="s">
        <v>173</v>
      </c>
      <c r="G61" t="s">
        <v>169</v>
      </c>
      <c r="H61">
        <f>VLOOKUP(CONCATENATE($G61,"-",$F61,"-",$H$2),'Look-ups'!$O$3:$S$34,5,FALSE)*VLOOKUP(CONCATENATE($F61,"-",$H$2,"-",H$3),'Look-ups'!$I$3:$M$24,5,FALSE)</f>
        <v>206</v>
      </c>
      <c r="I61">
        <f>VLOOKUP(CONCATENATE($G61,"-",$F61,"-",$H$2),'Look-ups'!$O$3:$S$34,5,FALSE)*VLOOKUP(CONCATENATE($F61,"-",$H$2,"-",I$3),'Look-ups'!$I$3:$M$24,5,FALSE)</f>
        <v>309</v>
      </c>
      <c r="J61">
        <f>VLOOKUP(CONCATENATE($G61,"-",$F61,"-",$H$2),'Look-ups'!$O$3:$S$34,5,FALSE)*VLOOKUP(CONCATENATE($F61,"-",$H$2,"-",J$3),'Look-ups'!$I$3:$M$24,5,FALSE)</f>
        <v>360.5</v>
      </c>
      <c r="K61">
        <f>VLOOKUP(CONCATENATE($G61,"-",$F61,"-",$H$2),'Look-ups'!$O$3:$S$34,5,FALSE)*VLOOKUP(CONCATENATE($F61,"-",$H$2,"-",K$3),'Look-ups'!$I$3:$M$24,5,FALSE)</f>
        <v>463.5</v>
      </c>
      <c r="L61">
        <f>VLOOKUP(CONCATENATE($G61,"-",$F61,"-",$H$2),'Look-ups'!$O$3:$S$34,5,FALSE)*VLOOKUP(CONCATENATE($F61,"-",$H$2,"-",L$3),'Look-ups'!$I$3:$M$24,5,FALSE)</f>
        <v>515</v>
      </c>
      <c r="M61">
        <f>VLOOKUP(CONCATENATE($G61,"-",$F61,"-",$H$2),'Look-ups'!$O$3:$S$34,5,FALSE)*VLOOKUP(CONCATENATE($F61,"-",$H$2,"-",M$3),'Look-ups'!$I$3:$M$24,5,FALSE)</f>
        <v>566.5</v>
      </c>
      <c r="N61">
        <f>VLOOKUP(CONCATENATE($G61,"-",$F61,"-",$N$2),'Look-ups'!$O$3:$S$34,5,FALSE)*VLOOKUP(CONCATENATE($F61,"-",$N$2,"-",N$3),'Look-ups'!$I$3:$M$24,5,FALSE)</f>
        <v>207.75</v>
      </c>
      <c r="O61">
        <f>VLOOKUP(CONCATENATE($G61,"-",$F61,"-",$N$2),'Look-ups'!$O$3:$S$34,5,FALSE)*VLOOKUP(CONCATENATE($F61,"-",$N$2,"-",O$3),'Look-ups'!$I$3:$M$24,5,FALSE)</f>
        <v>207.75</v>
      </c>
      <c r="P61">
        <f>VLOOKUP(CONCATENATE($G61,"-",$F61,"-",$N$2),'Look-ups'!$O$3:$S$34,5,FALSE)*VLOOKUP(CONCATENATE($F61,"-",$N$2,"-",P$3),'Look-ups'!$I$3:$M$24,5,FALSE)</f>
        <v>277</v>
      </c>
      <c r="Q61">
        <f>VLOOKUP(CONCATENATE($G61,"-",$F61,"-",$N$2),'Look-ups'!$O$3:$S$34,5,FALSE)*VLOOKUP(CONCATENATE($F61,"-",$N$2,"-",Q$3),'Look-ups'!$I$3:$M$24,5,FALSE)</f>
        <v>356.14285714285717</v>
      </c>
      <c r="R61">
        <f>VLOOKUP(CONCATENATE($G61,"-",$F61,"-",$N$2),'Look-ups'!$O$3:$S$34,5,FALSE)*VLOOKUP(CONCATENATE($F61,"-",$N$2,"-",R$3),'Look-ups'!$I$3:$M$24,5,FALSE)</f>
        <v>405.60714285714283</v>
      </c>
      <c r="S61" s="117">
        <f>VLOOKUP(CONCATENATE($G61,"-",$F61,"-Lone Person"),'Look-ups'!$Y$4:$AG$35,5,FALSE)</f>
        <v>93.28</v>
      </c>
      <c r="T61">
        <f>VLOOKUP(CONCATENATE($G61,"-",$F61,"-Lone Person"),'Look-ups'!$Y$4:$AG$35,6,FALSE)</f>
        <v>133.56</v>
      </c>
      <c r="U61">
        <f>VLOOKUP(CONCATENATE($G61,"-",$F61,"-Lone Person"),'Look-ups'!$Y$4:$AG$35,7,FALSE)</f>
        <v>160.06</v>
      </c>
      <c r="V61">
        <f>VLOOKUP(CONCATENATE($G61,"-",$F61,"-Lone Person"),'Look-ups'!$Y$4:$AG$35,8,FALSE)</f>
        <v>196.10000000000002</v>
      </c>
      <c r="W61">
        <f>VLOOKUP(CONCATENATE($G61,"-",$F61,"-Lone Person"),'Look-ups'!$Y$4:$AG$35,9,FALSE)</f>
        <v>186.56</v>
      </c>
      <c r="X61" s="117">
        <f>VLOOKUP(CONCATENATE($G61,"-",$F61,"-Couple Only"),'Look-ups'!$Y$4:$AG$35,5,FALSE)</f>
        <v>151.58</v>
      </c>
      <c r="Y61">
        <f>VLOOKUP(CONCATENATE($G61,"-",$F61,"-Couple Only"),'Look-ups'!$Y$4:$AG$35,6,FALSE)</f>
        <v>143.1</v>
      </c>
      <c r="Z61">
        <f>VLOOKUP(CONCATENATE($G61,"-",$F61,"-Couple Only"),'Look-ups'!$Y$4:$AG$35,7,FALSE)</f>
        <v>162.18</v>
      </c>
      <c r="AA61">
        <f>VLOOKUP(CONCATENATE($G61,"-",$F61,"-Couple Only"),'Look-ups'!$Y$4:$AG$35,8,FALSE)</f>
        <v>179.14000000000001</v>
      </c>
      <c r="AB61">
        <f>VLOOKUP(CONCATENATE($G61,"-",$F61,"-Couple Only"),'Look-ups'!$Y$4:$AG$35,9,FALSE)</f>
        <v>224.72</v>
      </c>
      <c r="AC61">
        <v>22</v>
      </c>
      <c r="AD61" t="s">
        <v>169</v>
      </c>
      <c r="AE61" s="260">
        <f>VLOOKUP($AD61,'Look-ups'!$A$122:$G$130,5,FALSE)</f>
        <v>0.08278508771929824</v>
      </c>
      <c r="AF61" s="260">
        <f>VLOOKUP($AD61,'Look-ups'!$A$122:$G$130,6,FALSE)</f>
        <v>0.6069078947368421</v>
      </c>
      <c r="AG61" s="260">
        <f>VLOOKUP($AD61,'Look-ups'!$A$122:$G$130,7,FALSE)</f>
        <v>0.31030701754385964</v>
      </c>
      <c r="AH61" s="264">
        <f>VLOOKUP($AC61,'Look-ups'!$A$50:$AO$118,'Look-ups'!$B$133*4,FALSE)*0.277778</f>
        <v>77.05949414422209</v>
      </c>
      <c r="AI61" s="264">
        <f>VLOOKUP($AC61,'Look-ups'!$A$50:$AO$118,'Look-ups'!$B$133*4+1,FALSE)*0.277778</f>
        <v>9.051685855777936</v>
      </c>
      <c r="AJ61" s="264">
        <f>AE61*$AH61/'Look-ups'!$B$141</f>
        <v>8.339054878868204</v>
      </c>
      <c r="AK61" s="264">
        <f>AF61*$AH61/'Look-ups'!$B$140</f>
        <v>64.06577446651485</v>
      </c>
      <c r="AL61" s="264">
        <f>AG61*$AH61/'Look-ups'!$B$137</f>
        <v>4.554686057396585</v>
      </c>
      <c r="AM61" s="264">
        <f>AI61/'Look-ups'!$B$136</f>
        <v>1.9056180749006182</v>
      </c>
      <c r="AN61" s="263">
        <f>AJ61*VLOOKUP($AD61,'Look-ups'!$A$123:$M$130,10,FALSE)</f>
        <v>2.2631268379595095</v>
      </c>
      <c r="AO61" s="263">
        <f>AK61*VLOOKUP($AD61,'Look-ups'!$A$123:$M$130,9,FALSE)</f>
        <v>7.3876258033107245</v>
      </c>
      <c r="AP61" s="263">
        <f>(AL61+AM61)*VLOOKUP($AD61,'Look-ups'!$A$123:$M$130,8,FALSE)</f>
        <v>1.4240201061464517</v>
      </c>
      <c r="AQ61" s="263">
        <f t="shared" si="0"/>
        <v>11.074772747416686</v>
      </c>
      <c r="AR61" s="265">
        <f>AJ61*VLOOKUP($AD61,'Look-ups'!$A$123:$M$130,11,FALSE)</f>
        <v>0.036025725797032955</v>
      </c>
      <c r="AS61" s="265">
        <f>AK61*VLOOKUP($AD61,'Look-ups'!$A$123:$M$130,12,FALSE)</f>
        <v>11.885046471035427</v>
      </c>
      <c r="AT61" s="265">
        <f>(AL61+AM61)*VLOOKUP($AD61,'Look-ups'!$A$123:$M$130,13,FALSE)</f>
        <v>1.5840665732392742</v>
      </c>
      <c r="AU61" s="265">
        <f t="shared" si="1"/>
        <v>13.505138770071735</v>
      </c>
    </row>
    <row r="62" spans="1:47" ht="15">
      <c r="A62">
        <v>2021</v>
      </c>
      <c r="B62" t="s">
        <v>352</v>
      </c>
      <c r="C62">
        <v>182.6156</v>
      </c>
      <c r="D62">
        <v>35743</v>
      </c>
      <c r="E62">
        <v>195.72807580513384</v>
      </c>
      <c r="F62" t="s">
        <v>173</v>
      </c>
      <c r="G62" t="s">
        <v>169</v>
      </c>
      <c r="H62">
        <f>VLOOKUP(CONCATENATE($G62,"-",$F62,"-",$H$2),'Look-ups'!$O$3:$S$34,5,FALSE)*VLOOKUP(CONCATENATE($F62,"-",$H$2,"-",H$3),'Look-ups'!$I$3:$M$24,5,FALSE)</f>
        <v>206</v>
      </c>
      <c r="I62">
        <f>VLOOKUP(CONCATENATE($G62,"-",$F62,"-",$H$2),'Look-ups'!$O$3:$S$34,5,FALSE)*VLOOKUP(CONCATENATE($F62,"-",$H$2,"-",I$3),'Look-ups'!$I$3:$M$24,5,FALSE)</f>
        <v>309</v>
      </c>
      <c r="J62">
        <f>VLOOKUP(CONCATENATE($G62,"-",$F62,"-",$H$2),'Look-ups'!$O$3:$S$34,5,FALSE)*VLOOKUP(CONCATENATE($F62,"-",$H$2,"-",J$3),'Look-ups'!$I$3:$M$24,5,FALSE)</f>
        <v>360.5</v>
      </c>
      <c r="K62">
        <f>VLOOKUP(CONCATENATE($G62,"-",$F62,"-",$H$2),'Look-ups'!$O$3:$S$34,5,FALSE)*VLOOKUP(CONCATENATE($F62,"-",$H$2,"-",K$3),'Look-ups'!$I$3:$M$24,5,FALSE)</f>
        <v>463.5</v>
      </c>
      <c r="L62">
        <f>VLOOKUP(CONCATENATE($G62,"-",$F62,"-",$H$2),'Look-ups'!$O$3:$S$34,5,FALSE)*VLOOKUP(CONCATENATE($F62,"-",$H$2,"-",L$3),'Look-ups'!$I$3:$M$24,5,FALSE)</f>
        <v>515</v>
      </c>
      <c r="M62">
        <f>VLOOKUP(CONCATENATE($G62,"-",$F62,"-",$H$2),'Look-ups'!$O$3:$S$34,5,FALSE)*VLOOKUP(CONCATENATE($F62,"-",$H$2,"-",M$3),'Look-ups'!$I$3:$M$24,5,FALSE)</f>
        <v>566.5</v>
      </c>
      <c r="N62">
        <f>VLOOKUP(CONCATENATE($G62,"-",$F62,"-",$N$2),'Look-ups'!$O$3:$S$34,5,FALSE)*VLOOKUP(CONCATENATE($F62,"-",$N$2,"-",N$3),'Look-ups'!$I$3:$M$24,5,FALSE)</f>
        <v>207.75</v>
      </c>
      <c r="O62">
        <f>VLOOKUP(CONCATENATE($G62,"-",$F62,"-",$N$2),'Look-ups'!$O$3:$S$34,5,FALSE)*VLOOKUP(CONCATENATE($F62,"-",$N$2,"-",O$3),'Look-ups'!$I$3:$M$24,5,FALSE)</f>
        <v>207.75</v>
      </c>
      <c r="P62">
        <f>VLOOKUP(CONCATENATE($G62,"-",$F62,"-",$N$2),'Look-ups'!$O$3:$S$34,5,FALSE)*VLOOKUP(CONCATENATE($F62,"-",$N$2,"-",P$3),'Look-ups'!$I$3:$M$24,5,FALSE)</f>
        <v>277</v>
      </c>
      <c r="Q62">
        <f>VLOOKUP(CONCATENATE($G62,"-",$F62,"-",$N$2),'Look-ups'!$O$3:$S$34,5,FALSE)*VLOOKUP(CONCATENATE($F62,"-",$N$2,"-",Q$3),'Look-ups'!$I$3:$M$24,5,FALSE)</f>
        <v>356.14285714285717</v>
      </c>
      <c r="R62">
        <f>VLOOKUP(CONCATENATE($G62,"-",$F62,"-",$N$2),'Look-ups'!$O$3:$S$34,5,FALSE)*VLOOKUP(CONCATENATE($F62,"-",$N$2,"-",R$3),'Look-ups'!$I$3:$M$24,5,FALSE)</f>
        <v>405.60714285714283</v>
      </c>
      <c r="S62" s="117">
        <f>VLOOKUP(CONCATENATE($G62,"-",$F62,"-Lone Person"),'Look-ups'!$Y$4:$AG$35,5,FALSE)</f>
        <v>93.28</v>
      </c>
      <c r="T62">
        <f>VLOOKUP(CONCATENATE($G62,"-",$F62,"-Lone Person"),'Look-ups'!$Y$4:$AG$35,6,FALSE)</f>
        <v>133.56</v>
      </c>
      <c r="U62">
        <f>VLOOKUP(CONCATENATE($G62,"-",$F62,"-Lone Person"),'Look-ups'!$Y$4:$AG$35,7,FALSE)</f>
        <v>160.06</v>
      </c>
      <c r="V62">
        <f>VLOOKUP(CONCATENATE($G62,"-",$F62,"-Lone Person"),'Look-ups'!$Y$4:$AG$35,8,FALSE)</f>
        <v>196.10000000000002</v>
      </c>
      <c r="W62">
        <f>VLOOKUP(CONCATENATE($G62,"-",$F62,"-Lone Person"),'Look-ups'!$Y$4:$AG$35,9,FALSE)</f>
        <v>186.56</v>
      </c>
      <c r="X62" s="117">
        <f>VLOOKUP(CONCATENATE($G62,"-",$F62,"-Couple Only"),'Look-ups'!$Y$4:$AG$35,5,FALSE)</f>
        <v>151.58</v>
      </c>
      <c r="Y62">
        <f>VLOOKUP(CONCATENATE($G62,"-",$F62,"-Couple Only"),'Look-ups'!$Y$4:$AG$35,6,FALSE)</f>
        <v>143.1</v>
      </c>
      <c r="Z62">
        <f>VLOOKUP(CONCATENATE($G62,"-",$F62,"-Couple Only"),'Look-ups'!$Y$4:$AG$35,7,FALSE)</f>
        <v>162.18</v>
      </c>
      <c r="AA62">
        <f>VLOOKUP(CONCATENATE($G62,"-",$F62,"-Couple Only"),'Look-ups'!$Y$4:$AG$35,8,FALSE)</f>
        <v>179.14000000000001</v>
      </c>
      <c r="AB62">
        <f>VLOOKUP(CONCATENATE($G62,"-",$F62,"-Couple Only"),'Look-ups'!$Y$4:$AG$35,9,FALSE)</f>
        <v>224.72</v>
      </c>
      <c r="AC62">
        <v>63</v>
      </c>
      <c r="AD62" t="s">
        <v>169</v>
      </c>
      <c r="AE62" s="260">
        <f>VLOOKUP($AD62,'Look-ups'!$A$122:$G$130,5,FALSE)</f>
        <v>0.08278508771929824</v>
      </c>
      <c r="AF62" s="260">
        <f>VLOOKUP($AD62,'Look-ups'!$A$122:$G$130,6,FALSE)</f>
        <v>0.6069078947368421</v>
      </c>
      <c r="AG62" s="260">
        <f>VLOOKUP($AD62,'Look-ups'!$A$122:$G$130,7,FALSE)</f>
        <v>0.31030701754385964</v>
      </c>
      <c r="AH62" s="264">
        <f>VLOOKUP($AC62,'Look-ups'!$A$50:$AO$118,'Look-ups'!$B$133*4,FALSE)*0.277778</f>
        <v>75.83279696014702</v>
      </c>
      <c r="AI62" s="264">
        <f>VLOOKUP($AC62,'Look-ups'!$A$50:$AO$118,'Look-ups'!$B$133*4+1,FALSE)*0.277778</f>
        <v>6.389491039852981</v>
      </c>
      <c r="AJ62" s="264">
        <f>AE62*$AH62/'Look-ups'!$B$141</f>
        <v>8.206306860582359</v>
      </c>
      <c r="AK62" s="264">
        <f>AF62*$AH62/'Look-ups'!$B$140</f>
        <v>63.04592213025922</v>
      </c>
      <c r="AL62" s="264">
        <f>AG62*$AH62/'Look-ups'!$B$137</f>
        <v>4.482180772707102</v>
      </c>
      <c r="AM62" s="264">
        <f>AI62/'Look-ups'!$B$136</f>
        <v>1.3451560083901013</v>
      </c>
      <c r="AN62" s="263">
        <f>AJ62*VLOOKUP($AD62,'Look-ups'!$A$123:$M$130,10,FALSE)</f>
        <v>2.227100500774712</v>
      </c>
      <c r="AO62" s="263">
        <f>AK62*VLOOKUP($AD62,'Look-ups'!$A$123:$M$130,9,FALSE)</f>
        <v>7.2700234251668885</v>
      </c>
      <c r="AP62" s="263">
        <f>(AL62+AM62)*VLOOKUP($AD62,'Look-ups'!$A$123:$M$130,8,FALSE)</f>
        <v>1.2844975362821518</v>
      </c>
      <c r="AQ62" s="263">
        <f t="shared" si="0"/>
        <v>10.781621462223752</v>
      </c>
      <c r="AR62" s="265">
        <f>AJ62*VLOOKUP($AD62,'Look-ups'!$A$123:$M$130,11,FALSE)</f>
        <v>0.0354522383003882</v>
      </c>
      <c r="AS62" s="265">
        <f>AK62*VLOOKUP($AD62,'Look-ups'!$A$123:$M$130,12,FALSE)</f>
        <v>11.695850406351507</v>
      </c>
      <c r="AT62" s="265">
        <f>(AL62+AM62)*VLOOKUP($AD62,'Look-ups'!$A$123:$M$130,13,FALSE)</f>
        <v>1.4288629787250344</v>
      </c>
      <c r="AU62" s="265">
        <f t="shared" si="1"/>
        <v>13.16016562337693</v>
      </c>
    </row>
    <row r="63" spans="1:47" ht="15">
      <c r="A63">
        <v>3000</v>
      </c>
      <c r="B63" t="s">
        <v>353</v>
      </c>
      <c r="C63">
        <v>1716660.6473</v>
      </c>
      <c r="D63">
        <v>751871</v>
      </c>
      <c r="E63">
        <v>0.4379846425573735</v>
      </c>
      <c r="F63" t="s">
        <v>173</v>
      </c>
      <c r="G63" t="s">
        <v>166</v>
      </c>
      <c r="H63">
        <f>VLOOKUP(CONCATENATE($G63,"-",$F63,"-",$H$2),'Look-ups'!$O$3:$S$34,5,FALSE)*VLOOKUP(CONCATENATE($F63,"-",$H$2,"-",H$3),'Look-ups'!$I$3:$M$24,5,FALSE)</f>
        <v>199.33333333333331</v>
      </c>
      <c r="I63">
        <f>VLOOKUP(CONCATENATE($G63,"-",$F63,"-",$H$2),'Look-ups'!$O$3:$S$34,5,FALSE)*VLOOKUP(CONCATENATE($F63,"-",$H$2,"-",I$3),'Look-ups'!$I$3:$M$24,5,FALSE)</f>
        <v>299</v>
      </c>
      <c r="J63">
        <f>VLOOKUP(CONCATENATE($G63,"-",$F63,"-",$H$2),'Look-ups'!$O$3:$S$34,5,FALSE)*VLOOKUP(CONCATENATE($F63,"-",$H$2,"-",J$3),'Look-ups'!$I$3:$M$24,5,FALSE)</f>
        <v>348.83333333333337</v>
      </c>
      <c r="K63">
        <f>VLOOKUP(CONCATENATE($G63,"-",$F63,"-",$H$2),'Look-ups'!$O$3:$S$34,5,FALSE)*VLOOKUP(CONCATENATE($F63,"-",$H$2,"-",K$3),'Look-ups'!$I$3:$M$24,5,FALSE)</f>
        <v>448.5</v>
      </c>
      <c r="L63">
        <f>VLOOKUP(CONCATENATE($G63,"-",$F63,"-",$H$2),'Look-ups'!$O$3:$S$34,5,FALSE)*VLOOKUP(CONCATENATE($F63,"-",$H$2,"-",L$3),'Look-ups'!$I$3:$M$24,5,FALSE)</f>
        <v>498.33333333333337</v>
      </c>
      <c r="M63">
        <f>VLOOKUP(CONCATENATE($G63,"-",$F63,"-",$H$2),'Look-ups'!$O$3:$S$34,5,FALSE)*VLOOKUP(CONCATENATE($F63,"-",$H$2,"-",M$3),'Look-ups'!$I$3:$M$24,5,FALSE)</f>
        <v>548.1666666666666</v>
      </c>
      <c r="N63">
        <f>VLOOKUP(CONCATENATE($G63,"-",$F63,"-",$N$2),'Look-ups'!$O$3:$S$34,5,FALSE)*VLOOKUP(CONCATENATE($F63,"-",$N$2,"-",N$3),'Look-ups'!$I$3:$M$24,5,FALSE)</f>
        <v>216</v>
      </c>
      <c r="O63">
        <f>VLOOKUP(CONCATENATE($G63,"-",$F63,"-",$N$2),'Look-ups'!$O$3:$S$34,5,FALSE)*VLOOKUP(CONCATENATE($F63,"-",$N$2,"-",O$3),'Look-ups'!$I$3:$M$24,5,FALSE)</f>
        <v>216</v>
      </c>
      <c r="P63">
        <f>VLOOKUP(CONCATENATE($G63,"-",$F63,"-",$N$2),'Look-ups'!$O$3:$S$34,5,FALSE)*VLOOKUP(CONCATENATE($F63,"-",$N$2,"-",P$3),'Look-ups'!$I$3:$M$24,5,FALSE)</f>
        <v>288</v>
      </c>
      <c r="Q63">
        <f>VLOOKUP(CONCATENATE($G63,"-",$F63,"-",$N$2),'Look-ups'!$O$3:$S$34,5,FALSE)*VLOOKUP(CONCATENATE($F63,"-",$N$2,"-",Q$3),'Look-ups'!$I$3:$M$24,5,FALSE)</f>
        <v>370.28571428571433</v>
      </c>
      <c r="R63">
        <f>VLOOKUP(CONCATENATE($G63,"-",$F63,"-",$N$2),'Look-ups'!$O$3:$S$34,5,FALSE)*VLOOKUP(CONCATENATE($F63,"-",$N$2,"-",R$3),'Look-ups'!$I$3:$M$24,5,FALSE)</f>
        <v>421.71428571428567</v>
      </c>
      <c r="S63" s="117">
        <f>VLOOKUP(CONCATENATE($G63,"-",$F63,"-Lone Person"),'Look-ups'!$Y$4:$AG$35,5,FALSE)</f>
        <v>96.46000000000001</v>
      </c>
      <c r="T63">
        <f>VLOOKUP(CONCATENATE($G63,"-",$F63,"-Lone Person"),'Look-ups'!$Y$4:$AG$35,6,FALSE)</f>
        <v>136.74</v>
      </c>
      <c r="U63">
        <f>VLOOKUP(CONCATENATE($G63,"-",$F63,"-Lone Person"),'Look-ups'!$Y$4:$AG$35,7,FALSE)</f>
        <v>164.3</v>
      </c>
      <c r="V63">
        <f>VLOOKUP(CONCATENATE($G63,"-",$F63,"-Lone Person"),'Look-ups'!$Y$4:$AG$35,8,FALSE)</f>
        <v>201.4</v>
      </c>
      <c r="W63">
        <f>VLOOKUP(CONCATENATE($G63,"-",$F63,"-Lone Person"),'Look-ups'!$Y$4:$AG$35,9,FALSE)</f>
        <v>190.8</v>
      </c>
      <c r="X63" s="117">
        <f>VLOOKUP(CONCATENATE($G63,"-",$F63,"-Couple Only"),'Look-ups'!$Y$4:$AG$35,5,FALSE)</f>
        <v>154.76000000000002</v>
      </c>
      <c r="Y63">
        <f>VLOOKUP(CONCATENATE($G63,"-",$F63,"-Couple Only"),'Look-ups'!$Y$4:$AG$35,6,FALSE)</f>
        <v>147.34</v>
      </c>
      <c r="Z63">
        <f>VLOOKUP(CONCATENATE($G63,"-",$F63,"-Couple Only"),'Look-ups'!$Y$4:$AG$35,7,FALSE)</f>
        <v>166.42000000000002</v>
      </c>
      <c r="AA63">
        <f>VLOOKUP(CONCATENATE($G63,"-",$F63,"-Couple Only"),'Look-ups'!$Y$4:$AG$35,8,FALSE)</f>
        <v>183.38</v>
      </c>
      <c r="AB63">
        <f>VLOOKUP(CONCATENATE($G63,"-",$F63,"-Couple Only"),'Look-ups'!$Y$4:$AG$35,9,FALSE)</f>
        <v>230.02</v>
      </c>
      <c r="AC63">
        <v>9</v>
      </c>
      <c r="AD63" t="s">
        <v>166</v>
      </c>
      <c r="AE63" s="260">
        <f>VLOOKUP($AD63,'Look-ups'!$A$122:$G$130,5,FALSE)</f>
        <v>0.06050955414012739</v>
      </c>
      <c r="AF63" s="260">
        <f>VLOOKUP($AD63,'Look-ups'!$A$122:$G$130,6,FALSE)</f>
        <v>0.14171974522292993</v>
      </c>
      <c r="AG63" s="260">
        <f>VLOOKUP($AD63,'Look-ups'!$A$122:$G$130,7,FALSE)</f>
        <v>0.7977707006369427</v>
      </c>
      <c r="AH63" s="264">
        <f>VLOOKUP($AC63,'Look-ups'!$A$50:$AO$118,'Look-ups'!$B$133*4,FALSE)*0.277778</f>
        <v>14.028700976231834</v>
      </c>
      <c r="AI63" s="264">
        <f>VLOOKUP($AC63,'Look-ups'!$A$50:$AO$118,'Look-ups'!$B$133*4+1,FALSE)*0.277778</f>
        <v>33.47133702376817</v>
      </c>
      <c r="AJ63" s="264">
        <f>AE63*$AH63/'Look-ups'!$B$141</f>
        <v>1.1096345637084422</v>
      </c>
      <c r="AK63" s="264">
        <f>AF63*$AH63/'Look-ups'!$B$140</f>
        <v>2.723484833096225</v>
      </c>
      <c r="AL63" s="264">
        <f>AG63*$AH63/'Look-ups'!$B$137</f>
        <v>2.131749829873263</v>
      </c>
      <c r="AM63" s="264">
        <f>AI63/'Look-ups'!$B$136</f>
        <v>7.046597268161721</v>
      </c>
      <c r="AN63" s="263">
        <f>AJ63*VLOOKUP($AD63,'Look-ups'!$A$123:$M$130,10,FALSE)</f>
        <v>0.30114249131754106</v>
      </c>
      <c r="AO63" s="263">
        <f>AK63*VLOOKUP($AD63,'Look-ups'!$A$123:$M$130,9,FALSE)</f>
        <v>0.5902009512106168</v>
      </c>
      <c r="AP63" s="263">
        <f>(AL63+AM63)*VLOOKUP($AD63,'Look-ups'!$A$123:$M$130,8,FALSE)</f>
        <v>2.2965448218896602</v>
      </c>
      <c r="AQ63" s="263">
        <f t="shared" si="0"/>
        <v>3.1878882644178184</v>
      </c>
      <c r="AR63" s="265">
        <f>AJ63*VLOOKUP($AD63,'Look-ups'!$A$123:$M$130,11,FALSE)</f>
        <v>0.0047937555403756</v>
      </c>
      <c r="AS63" s="265">
        <f>AK63*VLOOKUP($AD63,'Look-ups'!$A$123:$M$130,12,FALSE)</f>
        <v>0.5052423712044083</v>
      </c>
      <c r="AT63" s="265">
        <f>(AL63+AM63)*VLOOKUP($AD63,'Look-ups'!$A$123:$M$130,13,FALSE)</f>
        <v>2.3432320141283314</v>
      </c>
      <c r="AU63" s="265">
        <f t="shared" si="1"/>
        <v>2.8532681408731153</v>
      </c>
    </row>
    <row r="64" spans="1:47" ht="15">
      <c r="A64">
        <v>3001</v>
      </c>
      <c r="B64" t="s">
        <v>588</v>
      </c>
      <c r="C64">
        <v>304.0917</v>
      </c>
      <c r="D64">
        <v>14523</v>
      </c>
      <c r="E64">
        <v>47.75862017937352</v>
      </c>
      <c r="F64" t="s">
        <v>173</v>
      </c>
      <c r="G64" t="s">
        <v>166</v>
      </c>
      <c r="H64">
        <f>VLOOKUP(CONCATENATE($G64,"-",$F64,"-",$H$2),'Look-ups'!$O$3:$S$34,5,FALSE)*VLOOKUP(CONCATENATE($F64,"-",$H$2,"-",H$3),'Look-ups'!$I$3:$M$24,5,FALSE)</f>
        <v>199.33333333333331</v>
      </c>
      <c r="I64">
        <f>VLOOKUP(CONCATENATE($G64,"-",$F64,"-",$H$2),'Look-ups'!$O$3:$S$34,5,FALSE)*VLOOKUP(CONCATENATE($F64,"-",$H$2,"-",I$3),'Look-ups'!$I$3:$M$24,5,FALSE)</f>
        <v>299</v>
      </c>
      <c r="J64">
        <f>VLOOKUP(CONCATENATE($G64,"-",$F64,"-",$H$2),'Look-ups'!$O$3:$S$34,5,FALSE)*VLOOKUP(CONCATENATE($F64,"-",$H$2,"-",J$3),'Look-ups'!$I$3:$M$24,5,FALSE)</f>
        <v>348.83333333333337</v>
      </c>
      <c r="K64">
        <f>VLOOKUP(CONCATENATE($G64,"-",$F64,"-",$H$2),'Look-ups'!$O$3:$S$34,5,FALSE)*VLOOKUP(CONCATENATE($F64,"-",$H$2,"-",K$3),'Look-ups'!$I$3:$M$24,5,FALSE)</f>
        <v>448.5</v>
      </c>
      <c r="L64">
        <f>VLOOKUP(CONCATENATE($G64,"-",$F64,"-",$H$2),'Look-ups'!$O$3:$S$34,5,FALSE)*VLOOKUP(CONCATENATE($F64,"-",$H$2,"-",L$3),'Look-ups'!$I$3:$M$24,5,FALSE)</f>
        <v>498.33333333333337</v>
      </c>
      <c r="M64">
        <f>VLOOKUP(CONCATENATE($G64,"-",$F64,"-",$H$2),'Look-ups'!$O$3:$S$34,5,FALSE)*VLOOKUP(CONCATENATE($F64,"-",$H$2,"-",M$3),'Look-ups'!$I$3:$M$24,5,FALSE)</f>
        <v>548.1666666666666</v>
      </c>
      <c r="N64">
        <f>VLOOKUP(CONCATENATE($G64,"-",$F64,"-",$N$2),'Look-ups'!$O$3:$S$34,5,FALSE)*VLOOKUP(CONCATENATE($F64,"-",$N$2,"-",N$3),'Look-ups'!$I$3:$M$24,5,FALSE)</f>
        <v>216</v>
      </c>
      <c r="O64">
        <f>VLOOKUP(CONCATENATE($G64,"-",$F64,"-",$N$2),'Look-ups'!$O$3:$S$34,5,FALSE)*VLOOKUP(CONCATENATE($F64,"-",$N$2,"-",O$3),'Look-ups'!$I$3:$M$24,5,FALSE)</f>
        <v>216</v>
      </c>
      <c r="P64">
        <f>VLOOKUP(CONCATENATE($G64,"-",$F64,"-",$N$2),'Look-ups'!$O$3:$S$34,5,FALSE)*VLOOKUP(CONCATENATE($F64,"-",$N$2,"-",P$3),'Look-ups'!$I$3:$M$24,5,FALSE)</f>
        <v>288</v>
      </c>
      <c r="Q64">
        <f>VLOOKUP(CONCATENATE($G64,"-",$F64,"-",$N$2),'Look-ups'!$O$3:$S$34,5,FALSE)*VLOOKUP(CONCATENATE($F64,"-",$N$2,"-",Q$3),'Look-ups'!$I$3:$M$24,5,FALSE)</f>
        <v>370.28571428571433</v>
      </c>
      <c r="R64">
        <f>VLOOKUP(CONCATENATE($G64,"-",$F64,"-",$N$2),'Look-ups'!$O$3:$S$34,5,FALSE)*VLOOKUP(CONCATENATE($F64,"-",$N$2,"-",R$3),'Look-ups'!$I$3:$M$24,5,FALSE)</f>
        <v>421.71428571428567</v>
      </c>
      <c r="S64" s="117">
        <f>VLOOKUP(CONCATENATE($G64,"-",$F64,"-Lone Person"),'Look-ups'!$Y$4:$AG$35,5,FALSE)</f>
        <v>96.46000000000001</v>
      </c>
      <c r="T64">
        <f>VLOOKUP(CONCATENATE($G64,"-",$F64,"-Lone Person"),'Look-ups'!$Y$4:$AG$35,6,FALSE)</f>
        <v>136.74</v>
      </c>
      <c r="U64">
        <f>VLOOKUP(CONCATENATE($G64,"-",$F64,"-Lone Person"),'Look-ups'!$Y$4:$AG$35,7,FALSE)</f>
        <v>164.3</v>
      </c>
      <c r="V64">
        <f>VLOOKUP(CONCATENATE($G64,"-",$F64,"-Lone Person"),'Look-ups'!$Y$4:$AG$35,8,FALSE)</f>
        <v>201.4</v>
      </c>
      <c r="W64">
        <f>VLOOKUP(CONCATENATE($G64,"-",$F64,"-Lone Person"),'Look-ups'!$Y$4:$AG$35,9,FALSE)</f>
        <v>190.8</v>
      </c>
      <c r="X64" s="117">
        <f>VLOOKUP(CONCATENATE($G64,"-",$F64,"-Couple Only"),'Look-ups'!$Y$4:$AG$35,5,FALSE)</f>
        <v>154.76000000000002</v>
      </c>
      <c r="Y64">
        <f>VLOOKUP(CONCATENATE($G64,"-",$F64,"-Couple Only"),'Look-ups'!$Y$4:$AG$35,6,FALSE)</f>
        <v>147.34</v>
      </c>
      <c r="Z64">
        <f>VLOOKUP(CONCATENATE($G64,"-",$F64,"-Couple Only"),'Look-ups'!$Y$4:$AG$35,7,FALSE)</f>
        <v>166.42000000000002</v>
      </c>
      <c r="AA64">
        <f>VLOOKUP(CONCATENATE($G64,"-",$F64,"-Couple Only"),'Look-ups'!$Y$4:$AG$35,8,FALSE)</f>
        <v>183.38</v>
      </c>
      <c r="AB64">
        <f>VLOOKUP(CONCATENATE($G64,"-",$F64,"-Couple Only"),'Look-ups'!$Y$4:$AG$35,9,FALSE)</f>
        <v>230.02</v>
      </c>
      <c r="AC64">
        <v>35</v>
      </c>
      <c r="AD64" t="s">
        <v>166</v>
      </c>
      <c r="AE64" s="260">
        <f>VLOOKUP($AD64,'Look-ups'!$A$122:$G$130,5,FALSE)</f>
        <v>0.06050955414012739</v>
      </c>
      <c r="AF64" s="260">
        <f>VLOOKUP($AD64,'Look-ups'!$A$122:$G$130,6,FALSE)</f>
        <v>0.14171974522292993</v>
      </c>
      <c r="AG64" s="260">
        <f>VLOOKUP($AD64,'Look-ups'!$A$122:$G$130,7,FALSE)</f>
        <v>0.7977707006369427</v>
      </c>
      <c r="AH64" s="264">
        <f>VLOOKUP($AC64,'Look-ups'!$A$50:$AO$118,'Look-ups'!$B$133*4,FALSE)*0.277778</f>
        <v>0.6684709045209036</v>
      </c>
      <c r="AI64" s="264">
        <f>VLOOKUP($AC64,'Look-ups'!$A$50:$AO$118,'Look-ups'!$B$133*4+1,FALSE)*0.277778</f>
        <v>43.4982310954791</v>
      </c>
      <c r="AJ64" s="264">
        <f>AE64*$AH64/'Look-ups'!$B$141</f>
        <v>0.05287434821987915</v>
      </c>
      <c r="AK64" s="264">
        <f>AF64*$AH64/'Look-ups'!$B$140</f>
        <v>0.12977469353101914</v>
      </c>
      <c r="AL64" s="264">
        <f>AG64*$AH64/'Look-ups'!$B$137</f>
        <v>0.1015783813057242</v>
      </c>
      <c r="AM64" s="264">
        <f>AI64/'Look-ups'!$B$136</f>
        <v>9.157522335890336</v>
      </c>
      <c r="AN64" s="263">
        <f>AJ64*VLOOKUP($AD64,'Look-ups'!$A$123:$M$130,10,FALSE)</f>
        <v>0.014349510614117201</v>
      </c>
      <c r="AO64" s="263">
        <f>AK64*VLOOKUP($AD64,'Look-ups'!$A$123:$M$130,9,FALSE)</f>
        <v>0.028123214285720097</v>
      </c>
      <c r="AP64" s="263">
        <f>(AL64+AM64)*VLOOKUP($AD64,'Look-ups'!$A$123:$M$130,8,FALSE)</f>
        <v>2.316750454118684</v>
      </c>
      <c r="AQ64" s="263">
        <f t="shared" si="0"/>
        <v>2.359223179018521</v>
      </c>
      <c r="AR64" s="265">
        <f>AJ64*VLOOKUP($AD64,'Look-ups'!$A$123:$M$130,11,FALSE)</f>
        <v>0.00022842358017012267</v>
      </c>
      <c r="AS64" s="265">
        <f>AK64*VLOOKUP($AD64,'Look-ups'!$A$123:$M$130,12,FALSE)</f>
        <v>0.024074917945254768</v>
      </c>
      <c r="AT64" s="265">
        <f>(AL64+AM64)*VLOOKUP($AD64,'Look-ups'!$A$123:$M$130,13,FALSE)</f>
        <v>2.3638484131001545</v>
      </c>
      <c r="AU64" s="265">
        <f t="shared" si="1"/>
        <v>2.3881517546255795</v>
      </c>
    </row>
    <row r="65" spans="1:47" ht="15">
      <c r="A65">
        <v>3002</v>
      </c>
      <c r="B65" t="s">
        <v>354</v>
      </c>
      <c r="C65">
        <v>6462.4053</v>
      </c>
      <c r="D65">
        <v>2447280</v>
      </c>
      <c r="E65">
        <v>378.69491101092035</v>
      </c>
      <c r="F65" t="s">
        <v>172</v>
      </c>
      <c r="G65" t="s">
        <v>166</v>
      </c>
      <c r="H65">
        <f>VLOOKUP(CONCATENATE($G65,"-",$F65,"-",$H$2),'Look-ups'!$O$3:$S$34,5,FALSE)*VLOOKUP(CONCATENATE($F65,"-",$H$2,"-",H$3),'Look-ups'!$I$3:$M$24,5,FALSE)</f>
        <v>222.22222222222223</v>
      </c>
      <c r="I65">
        <f>VLOOKUP(CONCATENATE($G65,"-",$F65,"-",$H$2),'Look-ups'!$O$3:$S$34,5,FALSE)*VLOOKUP(CONCATENATE($F65,"-",$H$2,"-",I$3),'Look-ups'!$I$3:$M$24,5,FALSE)</f>
        <v>320</v>
      </c>
      <c r="J65">
        <f>VLOOKUP(CONCATENATE($G65,"-",$F65,"-",$H$2),'Look-ups'!$O$3:$S$34,5,FALSE)*VLOOKUP(CONCATENATE($F65,"-",$H$2,"-",J$3),'Look-ups'!$I$3:$M$24,5,FALSE)</f>
        <v>391.11111111111114</v>
      </c>
      <c r="K65">
        <f>VLOOKUP(CONCATENATE($G65,"-",$F65,"-",$H$2),'Look-ups'!$O$3:$S$34,5,FALSE)*VLOOKUP(CONCATENATE($F65,"-",$H$2,"-",K$3),'Look-ups'!$I$3:$M$24,5,FALSE)</f>
        <v>497.77777777777777</v>
      </c>
      <c r="L65">
        <f>VLOOKUP(CONCATENATE($G65,"-",$F65,"-",$H$2),'Look-ups'!$O$3:$S$34,5,FALSE)*VLOOKUP(CONCATENATE($F65,"-",$H$2,"-",L$3),'Look-ups'!$I$3:$M$24,5,FALSE)</f>
        <v>600</v>
      </c>
      <c r="M65">
        <f>VLOOKUP(CONCATENATE($G65,"-",$F65,"-",$H$2),'Look-ups'!$O$3:$S$34,5,FALSE)*VLOOKUP(CONCATENATE($F65,"-",$H$2,"-",M$3),'Look-ups'!$I$3:$M$24,5,FALSE)</f>
        <v>666.6666666666667</v>
      </c>
      <c r="N65">
        <f>VLOOKUP(CONCATENATE($G65,"-",$F65,"-",$N$2),'Look-ups'!$O$3:$S$34,5,FALSE)*VLOOKUP(CONCATENATE($F65,"-",$N$2,"-",N$3),'Look-ups'!$I$3:$M$24,5,FALSE)</f>
        <v>207.30666666666667</v>
      </c>
      <c r="O65">
        <f>VLOOKUP(CONCATENATE($G65,"-",$F65,"-",$N$2),'Look-ups'!$O$3:$S$34,5,FALSE)*VLOOKUP(CONCATENATE($F65,"-",$N$2,"-",O$3),'Look-ups'!$I$3:$M$24,5,FALSE)</f>
        <v>279.06666666666666</v>
      </c>
      <c r="P65">
        <f>VLOOKUP(CONCATENATE($G65,"-",$F65,"-",$N$2),'Look-ups'!$O$3:$S$34,5,FALSE)*VLOOKUP(CONCATENATE($F65,"-",$N$2,"-",P$3),'Look-ups'!$I$3:$M$24,5,FALSE)</f>
        <v>299</v>
      </c>
      <c r="Q65">
        <f>VLOOKUP(CONCATENATE($G65,"-",$F65,"-",$N$2),'Look-ups'!$O$3:$S$34,5,FALSE)*VLOOKUP(CONCATENATE($F65,"-",$N$2,"-",Q$3),'Look-ups'!$I$3:$M$24,5,FALSE)</f>
        <v>390.6933333333333</v>
      </c>
      <c r="R65">
        <f>VLOOKUP(CONCATENATE($G65,"-",$F65,"-",$N$2),'Look-ups'!$O$3:$S$34,5,FALSE)*VLOOKUP(CONCATENATE($F65,"-",$N$2,"-",R$3),'Look-ups'!$I$3:$M$24,5,FALSE)</f>
        <v>438.5333333333333</v>
      </c>
      <c r="S65" s="117">
        <f>VLOOKUP(CONCATENATE($G65,"-",$F65,"-Lone Person"),'Look-ups'!$Y$4:$AG$35,5,FALSE)</f>
        <v>126.14</v>
      </c>
      <c r="T65">
        <f>VLOOKUP(CONCATENATE($G65,"-",$F65,"-Lone Person"),'Look-ups'!$Y$4:$AG$35,6,FALSE)</f>
        <v>180.20000000000002</v>
      </c>
      <c r="U65">
        <f>VLOOKUP(CONCATENATE($G65,"-",$F65,"-Lone Person"),'Look-ups'!$Y$4:$AG$35,7,FALSE)</f>
        <v>215.18</v>
      </c>
      <c r="V65">
        <f>VLOOKUP(CONCATENATE($G65,"-",$F65,"-Lone Person"),'Look-ups'!$Y$4:$AG$35,8,FALSE)</f>
        <v>263.94</v>
      </c>
      <c r="W65">
        <f>VLOOKUP(CONCATENATE($G65,"-",$F65,"-Lone Person"),'Look-ups'!$Y$4:$AG$35,9,FALSE)</f>
        <v>250.16000000000003</v>
      </c>
      <c r="X65" s="117">
        <f>VLOOKUP(CONCATENATE($G65,"-",$F65,"-Couple Only"),'Look-ups'!$Y$4:$AG$35,5,FALSE)</f>
        <v>203.52</v>
      </c>
      <c r="Y65">
        <f>VLOOKUP(CONCATENATE($G65,"-",$F65,"-Couple Only"),'Look-ups'!$Y$4:$AG$35,6,FALSE)</f>
        <v>192.92000000000002</v>
      </c>
      <c r="Z65">
        <f>VLOOKUP(CONCATENATE($G65,"-",$F65,"-Couple Only"),'Look-ups'!$Y$4:$AG$35,7,FALSE)</f>
        <v>217.3</v>
      </c>
      <c r="AA65">
        <f>VLOOKUP(CONCATENATE($G65,"-",$F65,"-Couple Only"),'Look-ups'!$Y$4:$AG$35,8,FALSE)</f>
        <v>240.62</v>
      </c>
      <c r="AB65">
        <f>VLOOKUP(CONCATENATE($G65,"-",$F65,"-Couple Only"),'Look-ups'!$Y$4:$AG$35,9,FALSE)</f>
        <v>302.1</v>
      </c>
      <c r="AC65">
        <v>10</v>
      </c>
      <c r="AD65" t="s">
        <v>166</v>
      </c>
      <c r="AE65" s="260">
        <f>VLOOKUP($AD65,'Look-ups'!$A$122:$G$130,5,FALSE)</f>
        <v>0.06050955414012739</v>
      </c>
      <c r="AF65" s="260">
        <f>VLOOKUP($AD65,'Look-ups'!$A$122:$G$130,6,FALSE)</f>
        <v>0.14171974522292993</v>
      </c>
      <c r="AG65" s="260">
        <f>VLOOKUP($AD65,'Look-ups'!$A$122:$G$130,7,FALSE)</f>
        <v>0.7977707006369427</v>
      </c>
      <c r="AH65" s="264">
        <f>VLOOKUP($AC65,'Look-ups'!$A$50:$AO$118,'Look-ups'!$B$133*4,FALSE)*0.277778</f>
        <v>5.039376206978595</v>
      </c>
      <c r="AI65" s="264">
        <f>VLOOKUP($AC65,'Look-ups'!$A$50:$AO$118,'Look-ups'!$B$133*4+1,FALSE)*0.277778</f>
        <v>28.57176179302141</v>
      </c>
      <c r="AJ65" s="264">
        <f>AE65*$AH65/'Look-ups'!$B$141</f>
        <v>0.39860183977600144</v>
      </c>
      <c r="AK65" s="264">
        <f>AF65*$AH65/'Look-ups'!$B$140</f>
        <v>0.9783275508705499</v>
      </c>
      <c r="AL65" s="264">
        <f>AG65*$AH65/'Look-ups'!$B$137</f>
        <v>0.7657650833170384</v>
      </c>
      <c r="AM65" s="264">
        <f>AI65/'Look-ups'!$B$136</f>
        <v>6.015107745899244</v>
      </c>
      <c r="AN65" s="263">
        <f>AJ65*VLOOKUP($AD65,'Look-ups'!$A$123:$M$130,10,FALSE)</f>
        <v>0.10817611040587594</v>
      </c>
      <c r="AO65" s="263">
        <f>AK65*VLOOKUP($AD65,'Look-ups'!$A$123:$M$130,9,FALSE)</f>
        <v>0.21201140689405515</v>
      </c>
      <c r="AP65" s="263">
        <f>(AL65+AM65)*VLOOKUP($AD65,'Look-ups'!$A$123:$M$130,8,FALSE)</f>
        <v>1.6966647935076369</v>
      </c>
      <c r="AQ65" s="263">
        <f t="shared" si="0"/>
        <v>2.016852310807568</v>
      </c>
      <c r="AR65" s="265">
        <f>AJ65*VLOOKUP($AD65,'Look-ups'!$A$123:$M$130,11,FALSE)</f>
        <v>0.00172200816406092</v>
      </c>
      <c r="AS65" s="265">
        <f>AK65*VLOOKUP($AD65,'Look-ups'!$A$123:$M$130,12,FALSE)</f>
        <v>0.18149266910162884</v>
      </c>
      <c r="AT65" s="265">
        <f>(AL65+AM65)*VLOOKUP($AD65,'Look-ups'!$A$123:$M$130,13,FALSE)</f>
        <v>1.7311568332989171</v>
      </c>
      <c r="AU65" s="265">
        <f t="shared" si="1"/>
        <v>1.9143715105646069</v>
      </c>
    </row>
    <row r="66" spans="1:47" ht="15">
      <c r="A66">
        <v>3003</v>
      </c>
      <c r="B66" t="s">
        <v>355</v>
      </c>
      <c r="C66">
        <v>305.2318</v>
      </c>
      <c r="D66">
        <v>73747</v>
      </c>
      <c r="E66">
        <v>241.6098191603889</v>
      </c>
      <c r="F66" t="s">
        <v>173</v>
      </c>
      <c r="G66" t="s">
        <v>166</v>
      </c>
      <c r="H66">
        <f>VLOOKUP(CONCATENATE($G66,"-",$F66,"-",$H$2),'Look-ups'!$O$3:$S$34,5,FALSE)*VLOOKUP(CONCATENATE($F66,"-",$H$2,"-",H$3),'Look-ups'!$I$3:$M$24,5,FALSE)</f>
        <v>199.33333333333331</v>
      </c>
      <c r="I66">
        <f>VLOOKUP(CONCATENATE($G66,"-",$F66,"-",$H$2),'Look-ups'!$O$3:$S$34,5,FALSE)*VLOOKUP(CONCATENATE($F66,"-",$H$2,"-",I$3),'Look-ups'!$I$3:$M$24,5,FALSE)</f>
        <v>299</v>
      </c>
      <c r="J66">
        <f>VLOOKUP(CONCATENATE($G66,"-",$F66,"-",$H$2),'Look-ups'!$O$3:$S$34,5,FALSE)*VLOOKUP(CONCATENATE($F66,"-",$H$2,"-",J$3),'Look-ups'!$I$3:$M$24,5,FALSE)</f>
        <v>348.83333333333337</v>
      </c>
      <c r="K66">
        <f>VLOOKUP(CONCATENATE($G66,"-",$F66,"-",$H$2),'Look-ups'!$O$3:$S$34,5,FALSE)*VLOOKUP(CONCATENATE($F66,"-",$H$2,"-",K$3),'Look-ups'!$I$3:$M$24,5,FALSE)</f>
        <v>448.5</v>
      </c>
      <c r="L66">
        <f>VLOOKUP(CONCATENATE($G66,"-",$F66,"-",$H$2),'Look-ups'!$O$3:$S$34,5,FALSE)*VLOOKUP(CONCATENATE($F66,"-",$H$2,"-",L$3),'Look-ups'!$I$3:$M$24,5,FALSE)</f>
        <v>498.33333333333337</v>
      </c>
      <c r="M66">
        <f>VLOOKUP(CONCATENATE($G66,"-",$F66,"-",$H$2),'Look-ups'!$O$3:$S$34,5,FALSE)*VLOOKUP(CONCATENATE($F66,"-",$H$2,"-",M$3),'Look-ups'!$I$3:$M$24,5,FALSE)</f>
        <v>548.1666666666666</v>
      </c>
      <c r="N66">
        <f>VLOOKUP(CONCATENATE($G66,"-",$F66,"-",$N$2),'Look-ups'!$O$3:$S$34,5,FALSE)*VLOOKUP(CONCATENATE($F66,"-",$N$2,"-",N$3),'Look-ups'!$I$3:$M$24,5,FALSE)</f>
        <v>216</v>
      </c>
      <c r="O66">
        <f>VLOOKUP(CONCATENATE($G66,"-",$F66,"-",$N$2),'Look-ups'!$O$3:$S$34,5,FALSE)*VLOOKUP(CONCATENATE($F66,"-",$N$2,"-",O$3),'Look-ups'!$I$3:$M$24,5,FALSE)</f>
        <v>216</v>
      </c>
      <c r="P66">
        <f>VLOOKUP(CONCATENATE($G66,"-",$F66,"-",$N$2),'Look-ups'!$O$3:$S$34,5,FALSE)*VLOOKUP(CONCATENATE($F66,"-",$N$2,"-",P$3),'Look-ups'!$I$3:$M$24,5,FALSE)</f>
        <v>288</v>
      </c>
      <c r="Q66">
        <f>VLOOKUP(CONCATENATE($G66,"-",$F66,"-",$N$2),'Look-ups'!$O$3:$S$34,5,FALSE)*VLOOKUP(CONCATENATE($F66,"-",$N$2,"-",Q$3),'Look-ups'!$I$3:$M$24,5,FALSE)</f>
        <v>370.28571428571433</v>
      </c>
      <c r="R66">
        <f>VLOOKUP(CONCATENATE($G66,"-",$F66,"-",$N$2),'Look-ups'!$O$3:$S$34,5,FALSE)*VLOOKUP(CONCATENATE($F66,"-",$N$2,"-",R$3),'Look-ups'!$I$3:$M$24,5,FALSE)</f>
        <v>421.71428571428567</v>
      </c>
      <c r="S66" s="117">
        <f>VLOOKUP(CONCATENATE($G66,"-",$F66,"-Lone Person"),'Look-ups'!$Y$4:$AG$35,5,FALSE)</f>
        <v>96.46000000000001</v>
      </c>
      <c r="T66">
        <f>VLOOKUP(CONCATENATE($G66,"-",$F66,"-Lone Person"),'Look-ups'!$Y$4:$AG$35,6,FALSE)</f>
        <v>136.74</v>
      </c>
      <c r="U66">
        <f>VLOOKUP(CONCATENATE($G66,"-",$F66,"-Lone Person"),'Look-ups'!$Y$4:$AG$35,7,FALSE)</f>
        <v>164.3</v>
      </c>
      <c r="V66">
        <f>VLOOKUP(CONCATENATE($G66,"-",$F66,"-Lone Person"),'Look-ups'!$Y$4:$AG$35,8,FALSE)</f>
        <v>201.4</v>
      </c>
      <c r="W66">
        <f>VLOOKUP(CONCATENATE($G66,"-",$F66,"-Lone Person"),'Look-ups'!$Y$4:$AG$35,9,FALSE)</f>
        <v>190.8</v>
      </c>
      <c r="X66" s="117">
        <f>VLOOKUP(CONCATENATE($G66,"-",$F66,"-Couple Only"),'Look-ups'!$Y$4:$AG$35,5,FALSE)</f>
        <v>154.76000000000002</v>
      </c>
      <c r="Y66">
        <f>VLOOKUP(CONCATENATE($G66,"-",$F66,"-Couple Only"),'Look-ups'!$Y$4:$AG$35,6,FALSE)</f>
        <v>147.34</v>
      </c>
      <c r="Z66">
        <f>VLOOKUP(CONCATENATE($G66,"-",$F66,"-Couple Only"),'Look-ups'!$Y$4:$AG$35,7,FALSE)</f>
        <v>166.42000000000002</v>
      </c>
      <c r="AA66">
        <f>VLOOKUP(CONCATENATE($G66,"-",$F66,"-Couple Only"),'Look-ups'!$Y$4:$AG$35,8,FALSE)</f>
        <v>183.38</v>
      </c>
      <c r="AB66">
        <f>VLOOKUP(CONCATENATE($G66,"-",$F66,"-Couple Only"),'Look-ups'!$Y$4:$AG$35,9,FALSE)</f>
        <v>230.02</v>
      </c>
      <c r="AC66">
        <v>36</v>
      </c>
      <c r="AD66" t="s">
        <v>166</v>
      </c>
      <c r="AE66" s="260">
        <f>VLOOKUP($AD66,'Look-ups'!$A$122:$G$130,5,FALSE)</f>
        <v>0.06050955414012739</v>
      </c>
      <c r="AF66" s="260">
        <f>VLOOKUP($AD66,'Look-ups'!$A$122:$G$130,6,FALSE)</f>
        <v>0.14171974522292993</v>
      </c>
      <c r="AG66" s="260">
        <f>VLOOKUP($AD66,'Look-ups'!$A$122:$G$130,7,FALSE)</f>
        <v>0.7977707006369427</v>
      </c>
      <c r="AH66" s="264">
        <f>VLOOKUP($AC66,'Look-ups'!$A$50:$AO$118,'Look-ups'!$B$133*4,FALSE)*0.277778</f>
        <v>0.5166081148685175</v>
      </c>
      <c r="AI66" s="264">
        <f>VLOOKUP($AC66,'Look-ups'!$A$50:$AO$118,'Look-ups'!$B$133*4+1,FALSE)*0.277778</f>
        <v>38.927867885131484</v>
      </c>
      <c r="AJ66" s="264">
        <f>AE66*$AH66/'Look-ups'!$B$141</f>
        <v>0.040862387837732966</v>
      </c>
      <c r="AK66" s="264">
        <f>AF66*$AH66/'Look-ups'!$B$140</f>
        <v>0.10029256221817044</v>
      </c>
      <c r="AL66" s="264">
        <f>AG66*$AH66/'Look-ups'!$B$137</f>
        <v>0.07850187004826427</v>
      </c>
      <c r="AM66" s="264">
        <f>AI66/'Look-ups'!$B$136</f>
        <v>8.195340607396101</v>
      </c>
      <c r="AN66" s="263">
        <f>AJ66*VLOOKUP($AD66,'Look-ups'!$A$123:$M$130,10,FALSE)</f>
        <v>0.011089598032629195</v>
      </c>
      <c r="AO66" s="263">
        <f>AK66*VLOOKUP($AD66,'Look-ups'!$A$123:$M$130,9,FALSE)</f>
        <v>0.02173420057317528</v>
      </c>
      <c r="AP66" s="263">
        <f>(AL66+AM66)*VLOOKUP($AD66,'Look-ups'!$A$123:$M$130,8,FALSE)</f>
        <v>2.0702257057562794</v>
      </c>
      <c r="AQ66" s="263">
        <f t="shared" si="0"/>
        <v>2.103049504362084</v>
      </c>
      <c r="AR66" s="265">
        <f>AJ66*VLOOKUP($AD66,'Look-ups'!$A$123:$M$130,11,FALSE)</f>
        <v>0.00017653045831183913</v>
      </c>
      <c r="AS66" s="265">
        <f>AK66*VLOOKUP($AD66,'Look-ups'!$A$123:$M$130,12,FALSE)</f>
        <v>0.018605593588588844</v>
      </c>
      <c r="AT66" s="265">
        <f>(AL66+AM66)*VLOOKUP($AD66,'Look-ups'!$A$123:$M$130,13,FALSE)</f>
        <v>2.1123119844915466</v>
      </c>
      <c r="AU66" s="265">
        <f t="shared" si="1"/>
        <v>2.131094108538447</v>
      </c>
    </row>
    <row r="67" spans="1:47" ht="15">
      <c r="A67">
        <v>3004</v>
      </c>
      <c r="B67" t="s">
        <v>356</v>
      </c>
      <c r="C67">
        <v>254.0618</v>
      </c>
      <c r="D67">
        <v>153425</v>
      </c>
      <c r="E67">
        <v>603.8885027186299</v>
      </c>
      <c r="F67" t="s">
        <v>173</v>
      </c>
      <c r="G67" t="s">
        <v>166</v>
      </c>
      <c r="H67">
        <f>VLOOKUP(CONCATENATE($G67,"-",$F67,"-",$H$2),'Look-ups'!$O$3:$S$34,5,FALSE)*VLOOKUP(CONCATENATE($F67,"-",$H$2,"-",H$3),'Look-ups'!$I$3:$M$24,5,FALSE)</f>
        <v>199.33333333333331</v>
      </c>
      <c r="I67">
        <f>VLOOKUP(CONCATENATE($G67,"-",$F67,"-",$H$2),'Look-ups'!$O$3:$S$34,5,FALSE)*VLOOKUP(CONCATENATE($F67,"-",$H$2,"-",I$3),'Look-ups'!$I$3:$M$24,5,FALSE)</f>
        <v>299</v>
      </c>
      <c r="J67">
        <f>VLOOKUP(CONCATENATE($G67,"-",$F67,"-",$H$2),'Look-ups'!$O$3:$S$34,5,FALSE)*VLOOKUP(CONCATENATE($F67,"-",$H$2,"-",J$3),'Look-ups'!$I$3:$M$24,5,FALSE)</f>
        <v>348.83333333333337</v>
      </c>
      <c r="K67">
        <f>VLOOKUP(CONCATENATE($G67,"-",$F67,"-",$H$2),'Look-ups'!$O$3:$S$34,5,FALSE)*VLOOKUP(CONCATENATE($F67,"-",$H$2,"-",K$3),'Look-ups'!$I$3:$M$24,5,FALSE)</f>
        <v>448.5</v>
      </c>
      <c r="L67">
        <f>VLOOKUP(CONCATENATE($G67,"-",$F67,"-",$H$2),'Look-ups'!$O$3:$S$34,5,FALSE)*VLOOKUP(CONCATENATE($F67,"-",$H$2,"-",L$3),'Look-ups'!$I$3:$M$24,5,FALSE)</f>
        <v>498.33333333333337</v>
      </c>
      <c r="M67">
        <f>VLOOKUP(CONCATENATE($G67,"-",$F67,"-",$H$2),'Look-ups'!$O$3:$S$34,5,FALSE)*VLOOKUP(CONCATENATE($F67,"-",$H$2,"-",M$3),'Look-ups'!$I$3:$M$24,5,FALSE)</f>
        <v>548.1666666666666</v>
      </c>
      <c r="N67">
        <f>VLOOKUP(CONCATENATE($G67,"-",$F67,"-",$N$2),'Look-ups'!$O$3:$S$34,5,FALSE)*VLOOKUP(CONCATENATE($F67,"-",$N$2,"-",N$3),'Look-ups'!$I$3:$M$24,5,FALSE)</f>
        <v>216</v>
      </c>
      <c r="O67">
        <f>VLOOKUP(CONCATENATE($G67,"-",$F67,"-",$N$2),'Look-ups'!$O$3:$S$34,5,FALSE)*VLOOKUP(CONCATENATE($F67,"-",$N$2,"-",O$3),'Look-ups'!$I$3:$M$24,5,FALSE)</f>
        <v>216</v>
      </c>
      <c r="P67">
        <f>VLOOKUP(CONCATENATE($G67,"-",$F67,"-",$N$2),'Look-ups'!$O$3:$S$34,5,FALSE)*VLOOKUP(CONCATENATE($F67,"-",$N$2,"-",P$3),'Look-ups'!$I$3:$M$24,5,FALSE)</f>
        <v>288</v>
      </c>
      <c r="Q67">
        <f>VLOOKUP(CONCATENATE($G67,"-",$F67,"-",$N$2),'Look-ups'!$O$3:$S$34,5,FALSE)*VLOOKUP(CONCATENATE($F67,"-",$N$2,"-",Q$3),'Look-ups'!$I$3:$M$24,5,FALSE)</f>
        <v>370.28571428571433</v>
      </c>
      <c r="R67">
        <f>VLOOKUP(CONCATENATE($G67,"-",$F67,"-",$N$2),'Look-ups'!$O$3:$S$34,5,FALSE)*VLOOKUP(CONCATENATE($F67,"-",$N$2,"-",R$3),'Look-ups'!$I$3:$M$24,5,FALSE)</f>
        <v>421.71428571428567</v>
      </c>
      <c r="S67" s="117">
        <f>VLOOKUP(CONCATENATE($G67,"-",$F67,"-Lone Person"),'Look-ups'!$Y$4:$AG$35,5,FALSE)</f>
        <v>96.46000000000001</v>
      </c>
      <c r="T67">
        <f>VLOOKUP(CONCATENATE($G67,"-",$F67,"-Lone Person"),'Look-ups'!$Y$4:$AG$35,6,FALSE)</f>
        <v>136.74</v>
      </c>
      <c r="U67">
        <f>VLOOKUP(CONCATENATE($G67,"-",$F67,"-Lone Person"),'Look-ups'!$Y$4:$AG$35,7,FALSE)</f>
        <v>164.3</v>
      </c>
      <c r="V67">
        <f>VLOOKUP(CONCATENATE($G67,"-",$F67,"-Lone Person"),'Look-ups'!$Y$4:$AG$35,8,FALSE)</f>
        <v>201.4</v>
      </c>
      <c r="W67">
        <f>VLOOKUP(CONCATENATE($G67,"-",$F67,"-Lone Person"),'Look-ups'!$Y$4:$AG$35,9,FALSE)</f>
        <v>190.8</v>
      </c>
      <c r="X67" s="117">
        <f>VLOOKUP(CONCATENATE($G67,"-",$F67,"-Couple Only"),'Look-ups'!$Y$4:$AG$35,5,FALSE)</f>
        <v>154.76000000000002</v>
      </c>
      <c r="Y67">
        <f>VLOOKUP(CONCATENATE($G67,"-",$F67,"-Couple Only"),'Look-ups'!$Y$4:$AG$35,6,FALSE)</f>
        <v>147.34</v>
      </c>
      <c r="Z67">
        <f>VLOOKUP(CONCATENATE($G67,"-",$F67,"-Couple Only"),'Look-ups'!$Y$4:$AG$35,7,FALSE)</f>
        <v>166.42000000000002</v>
      </c>
      <c r="AA67">
        <f>VLOOKUP(CONCATENATE($G67,"-",$F67,"-Couple Only"),'Look-ups'!$Y$4:$AG$35,8,FALSE)</f>
        <v>183.38</v>
      </c>
      <c r="AB67">
        <f>VLOOKUP(CONCATENATE($G67,"-",$F67,"-Couple Only"),'Look-ups'!$Y$4:$AG$35,9,FALSE)</f>
        <v>230.02</v>
      </c>
      <c r="AC67">
        <v>32</v>
      </c>
      <c r="AD67" t="s">
        <v>166</v>
      </c>
      <c r="AE67" s="260">
        <f>VLOOKUP($AD67,'Look-ups'!$A$122:$G$130,5,FALSE)</f>
        <v>0.06050955414012739</v>
      </c>
      <c r="AF67" s="260">
        <f>VLOOKUP($AD67,'Look-ups'!$A$122:$G$130,6,FALSE)</f>
        <v>0.14171974522292993</v>
      </c>
      <c r="AG67" s="260">
        <f>VLOOKUP($AD67,'Look-ups'!$A$122:$G$130,7,FALSE)</f>
        <v>0.7977707006369427</v>
      </c>
      <c r="AH67" s="264">
        <f>VLOOKUP($AC67,'Look-ups'!$A$50:$AO$118,'Look-ups'!$B$133*4,FALSE)*0.277778</f>
        <v>0.06155650256543218</v>
      </c>
      <c r="AI67" s="264">
        <f>VLOOKUP($AC67,'Look-ups'!$A$50:$AO$118,'Look-ups'!$B$133*4+1,FALSE)*0.277778</f>
        <v>64.66071749743458</v>
      </c>
      <c r="AJ67" s="264">
        <f>AE67*$AH67/'Look-ups'!$B$141</f>
        <v>0.004868962777333215</v>
      </c>
      <c r="AK67" s="264">
        <f>AF67*$AH67/'Look-ups'!$B$140</f>
        <v>0.011950372411489975</v>
      </c>
      <c r="AL67" s="264">
        <f>AG67*$AH67/'Look-ups'!$B$137</f>
        <v>0.009353899843882778</v>
      </c>
      <c r="AM67" s="264">
        <f>AI67/'Look-ups'!$B$136</f>
        <v>13.612782631038858</v>
      </c>
      <c r="AN67" s="263">
        <f>AJ67*VLOOKUP($AD67,'Look-ups'!$A$123:$M$130,10,FALSE)</f>
        <v>0.0013213823981818196</v>
      </c>
      <c r="AO67" s="263">
        <f>AK67*VLOOKUP($AD67,'Look-ups'!$A$123:$M$130,9,FALSE)</f>
        <v>0.0025897413045491697</v>
      </c>
      <c r="AP67" s="263">
        <f>(AL67+AM67)*VLOOKUP($AD67,'Look-ups'!$A$123:$M$130,8,FALSE)</f>
        <v>3.40844018851394</v>
      </c>
      <c r="AQ67" s="263">
        <f t="shared" si="0"/>
        <v>3.4123513122166713</v>
      </c>
      <c r="AR67" s="265">
        <f>AJ67*VLOOKUP($AD67,'Look-ups'!$A$123:$M$130,11,FALSE)</f>
        <v>2.103450816430809E-05</v>
      </c>
      <c r="AS67" s="265">
        <f>AK67*VLOOKUP($AD67,'Look-ups'!$A$123:$M$130,12,FALSE)</f>
        <v>0.0022169517599599613</v>
      </c>
      <c r="AT67" s="265">
        <f>(AL67+AM67)*VLOOKUP($AD67,'Look-ups'!$A$123:$M$130,13,FALSE)</f>
        <v>3.477731456334364</v>
      </c>
      <c r="AU67" s="265">
        <f t="shared" si="1"/>
        <v>3.479969442602488</v>
      </c>
    </row>
    <row r="68" spans="1:47" ht="15">
      <c r="A68">
        <v>3005</v>
      </c>
      <c r="B68" t="s">
        <v>357</v>
      </c>
      <c r="C68">
        <v>38.9819999999999</v>
      </c>
      <c r="D68">
        <v>14089</v>
      </c>
      <c r="E68">
        <v>361.4232209737837</v>
      </c>
      <c r="F68" t="s">
        <v>173</v>
      </c>
      <c r="G68" t="s">
        <v>166</v>
      </c>
      <c r="H68">
        <f>VLOOKUP(CONCATENATE($G68,"-",$F68,"-",$H$2),'Look-ups'!$O$3:$S$34,5,FALSE)*VLOOKUP(CONCATENATE($F68,"-",$H$2,"-",H$3),'Look-ups'!$I$3:$M$24,5,FALSE)</f>
        <v>199.33333333333331</v>
      </c>
      <c r="I68">
        <f>VLOOKUP(CONCATENATE($G68,"-",$F68,"-",$H$2),'Look-ups'!$O$3:$S$34,5,FALSE)*VLOOKUP(CONCATENATE($F68,"-",$H$2,"-",I$3),'Look-ups'!$I$3:$M$24,5,FALSE)</f>
        <v>299</v>
      </c>
      <c r="J68">
        <f>VLOOKUP(CONCATENATE($G68,"-",$F68,"-",$H$2),'Look-ups'!$O$3:$S$34,5,FALSE)*VLOOKUP(CONCATENATE($F68,"-",$H$2,"-",J$3),'Look-ups'!$I$3:$M$24,5,FALSE)</f>
        <v>348.83333333333337</v>
      </c>
      <c r="K68">
        <f>VLOOKUP(CONCATENATE($G68,"-",$F68,"-",$H$2),'Look-ups'!$O$3:$S$34,5,FALSE)*VLOOKUP(CONCATENATE($F68,"-",$H$2,"-",K$3),'Look-ups'!$I$3:$M$24,5,FALSE)</f>
        <v>448.5</v>
      </c>
      <c r="L68">
        <f>VLOOKUP(CONCATENATE($G68,"-",$F68,"-",$H$2),'Look-ups'!$O$3:$S$34,5,FALSE)*VLOOKUP(CONCATENATE($F68,"-",$H$2,"-",L$3),'Look-ups'!$I$3:$M$24,5,FALSE)</f>
        <v>498.33333333333337</v>
      </c>
      <c r="M68">
        <f>VLOOKUP(CONCATENATE($G68,"-",$F68,"-",$H$2),'Look-ups'!$O$3:$S$34,5,FALSE)*VLOOKUP(CONCATENATE($F68,"-",$H$2,"-",M$3),'Look-ups'!$I$3:$M$24,5,FALSE)</f>
        <v>548.1666666666666</v>
      </c>
      <c r="N68">
        <f>VLOOKUP(CONCATENATE($G68,"-",$F68,"-",$N$2),'Look-ups'!$O$3:$S$34,5,FALSE)*VLOOKUP(CONCATENATE($F68,"-",$N$2,"-",N$3),'Look-ups'!$I$3:$M$24,5,FALSE)</f>
        <v>216</v>
      </c>
      <c r="O68">
        <f>VLOOKUP(CONCATENATE($G68,"-",$F68,"-",$N$2),'Look-ups'!$O$3:$S$34,5,FALSE)*VLOOKUP(CONCATENATE($F68,"-",$N$2,"-",O$3),'Look-ups'!$I$3:$M$24,5,FALSE)</f>
        <v>216</v>
      </c>
      <c r="P68">
        <f>VLOOKUP(CONCATENATE($G68,"-",$F68,"-",$N$2),'Look-ups'!$O$3:$S$34,5,FALSE)*VLOOKUP(CONCATENATE($F68,"-",$N$2,"-",P$3),'Look-ups'!$I$3:$M$24,5,FALSE)</f>
        <v>288</v>
      </c>
      <c r="Q68">
        <f>VLOOKUP(CONCATENATE($G68,"-",$F68,"-",$N$2),'Look-ups'!$O$3:$S$34,5,FALSE)*VLOOKUP(CONCATENATE($F68,"-",$N$2,"-",Q$3),'Look-ups'!$I$3:$M$24,5,FALSE)</f>
        <v>370.28571428571433</v>
      </c>
      <c r="R68">
        <f>VLOOKUP(CONCATENATE($G68,"-",$F68,"-",$N$2),'Look-ups'!$O$3:$S$34,5,FALSE)*VLOOKUP(CONCATENATE($F68,"-",$N$2,"-",R$3),'Look-ups'!$I$3:$M$24,5,FALSE)</f>
        <v>421.71428571428567</v>
      </c>
      <c r="S68" s="117">
        <f>VLOOKUP(CONCATENATE($G68,"-",$F68,"-Lone Person"),'Look-ups'!$Y$4:$AG$35,5,FALSE)</f>
        <v>96.46000000000001</v>
      </c>
      <c r="T68">
        <f>VLOOKUP(CONCATENATE($G68,"-",$F68,"-Lone Person"),'Look-ups'!$Y$4:$AG$35,6,FALSE)</f>
        <v>136.74</v>
      </c>
      <c r="U68">
        <f>VLOOKUP(CONCATENATE($G68,"-",$F68,"-Lone Person"),'Look-ups'!$Y$4:$AG$35,7,FALSE)</f>
        <v>164.3</v>
      </c>
      <c r="V68">
        <f>VLOOKUP(CONCATENATE($G68,"-",$F68,"-Lone Person"),'Look-ups'!$Y$4:$AG$35,8,FALSE)</f>
        <v>201.4</v>
      </c>
      <c r="W68">
        <f>VLOOKUP(CONCATENATE($G68,"-",$F68,"-Lone Person"),'Look-ups'!$Y$4:$AG$35,9,FALSE)</f>
        <v>190.8</v>
      </c>
      <c r="X68" s="117">
        <f>VLOOKUP(CONCATENATE($G68,"-",$F68,"-Couple Only"),'Look-ups'!$Y$4:$AG$35,5,FALSE)</f>
        <v>154.76000000000002</v>
      </c>
      <c r="Y68">
        <f>VLOOKUP(CONCATENATE($G68,"-",$F68,"-Couple Only"),'Look-ups'!$Y$4:$AG$35,6,FALSE)</f>
        <v>147.34</v>
      </c>
      <c r="Z68">
        <f>VLOOKUP(CONCATENATE($G68,"-",$F68,"-Couple Only"),'Look-ups'!$Y$4:$AG$35,7,FALSE)</f>
        <v>166.42000000000002</v>
      </c>
      <c r="AA68">
        <f>VLOOKUP(CONCATENATE($G68,"-",$F68,"-Couple Only"),'Look-ups'!$Y$4:$AG$35,8,FALSE)</f>
        <v>183.38</v>
      </c>
      <c r="AB68">
        <f>VLOOKUP(CONCATENATE($G68,"-",$F68,"-Couple Only"),'Look-ups'!$Y$4:$AG$35,9,FALSE)</f>
        <v>230.02</v>
      </c>
      <c r="AC68">
        <v>3</v>
      </c>
      <c r="AD68" t="s">
        <v>166</v>
      </c>
      <c r="AE68" s="260">
        <f>VLOOKUP($AD68,'Look-ups'!$A$122:$G$130,5,FALSE)</f>
        <v>0.06050955414012739</v>
      </c>
      <c r="AF68" s="260">
        <f>VLOOKUP($AD68,'Look-ups'!$A$122:$G$130,6,FALSE)</f>
        <v>0.14171974522292993</v>
      </c>
      <c r="AG68" s="260">
        <f>VLOOKUP($AD68,'Look-ups'!$A$122:$G$130,7,FALSE)</f>
        <v>0.7977707006369427</v>
      </c>
      <c r="AH68" s="264">
        <f>VLOOKUP($AC68,'Look-ups'!$A$50:$AO$118,'Look-ups'!$B$133*4,FALSE)*0.277778</f>
        <v>4.535734934713993</v>
      </c>
      <c r="AI68" s="264">
        <f>VLOOKUP($AC68,'Look-ups'!$A$50:$AO$118,'Look-ups'!$B$133*4+1,FALSE)*0.277778</f>
        <v>69.07543506528602</v>
      </c>
      <c r="AJ68" s="264">
        <f>AE68*$AH68/'Look-ups'!$B$141</f>
        <v>0.35876509620567787</v>
      </c>
      <c r="AK68" s="264">
        <f>AF68*$AH68/'Look-ups'!$B$140</f>
        <v>0.8805523278717943</v>
      </c>
      <c r="AL68" s="264">
        <f>AG68*$AH68/'Look-ups'!$B$137</f>
        <v>0.6892336070038552</v>
      </c>
      <c r="AM68" s="264">
        <f>AI68/'Look-ups'!$B$136</f>
        <v>14.542196855849687</v>
      </c>
      <c r="AN68" s="263">
        <f>AJ68*VLOOKUP($AD68,'Look-ups'!$A$123:$M$130,10,FALSE)</f>
        <v>0.09736486083137423</v>
      </c>
      <c r="AO68" s="263">
        <f>AK68*VLOOKUP($AD68,'Look-ups'!$A$123:$M$130,9,FALSE)</f>
        <v>0.1908227338684408</v>
      </c>
      <c r="AP68" s="263">
        <f>(AL68+AM68)*VLOOKUP($AD68,'Look-ups'!$A$123:$M$130,8,FALSE)</f>
        <v>3.811106987545461</v>
      </c>
      <c r="AQ68" s="263">
        <f t="shared" si="0"/>
        <v>4.099294582245276</v>
      </c>
      <c r="AR68" s="265">
        <f>AJ68*VLOOKUP($AD68,'Look-ups'!$A$123:$M$130,11,FALSE)</f>
        <v>0.0015499086130496937</v>
      </c>
      <c r="AS68" s="265">
        <f>AK68*VLOOKUP($AD68,'Look-ups'!$A$123:$M$130,12,FALSE)</f>
        <v>0.16335407515294512</v>
      </c>
      <c r="AT68" s="265">
        <f>(AL68+AM68)*VLOOKUP($AD68,'Look-ups'!$A$123:$M$130,13,FALSE)</f>
        <v>3.8885841971665096</v>
      </c>
      <c r="AU68" s="265">
        <f t="shared" si="1"/>
        <v>4.053488180932504</v>
      </c>
    </row>
    <row r="69" spans="1:47" ht="15">
      <c r="A69">
        <v>3006</v>
      </c>
      <c r="B69" t="s">
        <v>589</v>
      </c>
      <c r="C69">
        <v>246.0825</v>
      </c>
      <c r="D69">
        <v>45185</v>
      </c>
      <c r="E69">
        <v>183.61728282181787</v>
      </c>
      <c r="F69" t="s">
        <v>173</v>
      </c>
      <c r="G69" t="s">
        <v>166</v>
      </c>
      <c r="H69">
        <f>VLOOKUP(CONCATENATE($G69,"-",$F69,"-",$H$2),'Look-ups'!$O$3:$S$34,5,FALSE)*VLOOKUP(CONCATENATE($F69,"-",$H$2,"-",H$3),'Look-ups'!$I$3:$M$24,5,FALSE)</f>
        <v>199.33333333333331</v>
      </c>
      <c r="I69">
        <f>VLOOKUP(CONCATENATE($G69,"-",$F69,"-",$H$2),'Look-ups'!$O$3:$S$34,5,FALSE)*VLOOKUP(CONCATENATE($F69,"-",$H$2,"-",I$3),'Look-ups'!$I$3:$M$24,5,FALSE)</f>
        <v>299</v>
      </c>
      <c r="J69">
        <f>VLOOKUP(CONCATENATE($G69,"-",$F69,"-",$H$2),'Look-ups'!$O$3:$S$34,5,FALSE)*VLOOKUP(CONCATENATE($F69,"-",$H$2,"-",J$3),'Look-ups'!$I$3:$M$24,5,FALSE)</f>
        <v>348.83333333333337</v>
      </c>
      <c r="K69">
        <f>VLOOKUP(CONCATENATE($G69,"-",$F69,"-",$H$2),'Look-ups'!$O$3:$S$34,5,FALSE)*VLOOKUP(CONCATENATE($F69,"-",$H$2,"-",K$3),'Look-ups'!$I$3:$M$24,5,FALSE)</f>
        <v>448.5</v>
      </c>
      <c r="L69">
        <f>VLOOKUP(CONCATENATE($G69,"-",$F69,"-",$H$2),'Look-ups'!$O$3:$S$34,5,FALSE)*VLOOKUP(CONCATENATE($F69,"-",$H$2,"-",L$3),'Look-ups'!$I$3:$M$24,5,FALSE)</f>
        <v>498.33333333333337</v>
      </c>
      <c r="M69">
        <f>VLOOKUP(CONCATENATE($G69,"-",$F69,"-",$H$2),'Look-ups'!$O$3:$S$34,5,FALSE)*VLOOKUP(CONCATENATE($F69,"-",$H$2,"-",M$3),'Look-ups'!$I$3:$M$24,5,FALSE)</f>
        <v>548.1666666666666</v>
      </c>
      <c r="N69">
        <f>VLOOKUP(CONCATENATE($G69,"-",$F69,"-",$N$2),'Look-ups'!$O$3:$S$34,5,FALSE)*VLOOKUP(CONCATENATE($F69,"-",$N$2,"-",N$3),'Look-ups'!$I$3:$M$24,5,FALSE)</f>
        <v>216</v>
      </c>
      <c r="O69">
        <f>VLOOKUP(CONCATENATE($G69,"-",$F69,"-",$N$2),'Look-ups'!$O$3:$S$34,5,FALSE)*VLOOKUP(CONCATENATE($F69,"-",$N$2,"-",O$3),'Look-ups'!$I$3:$M$24,5,FALSE)</f>
        <v>216</v>
      </c>
      <c r="P69">
        <f>VLOOKUP(CONCATENATE($G69,"-",$F69,"-",$N$2),'Look-ups'!$O$3:$S$34,5,FALSE)*VLOOKUP(CONCATENATE($F69,"-",$N$2,"-",P$3),'Look-ups'!$I$3:$M$24,5,FALSE)</f>
        <v>288</v>
      </c>
      <c r="Q69">
        <f>VLOOKUP(CONCATENATE($G69,"-",$F69,"-",$N$2),'Look-ups'!$O$3:$S$34,5,FALSE)*VLOOKUP(CONCATENATE($F69,"-",$N$2,"-",Q$3),'Look-ups'!$I$3:$M$24,5,FALSE)</f>
        <v>370.28571428571433</v>
      </c>
      <c r="R69">
        <f>VLOOKUP(CONCATENATE($G69,"-",$F69,"-",$N$2),'Look-ups'!$O$3:$S$34,5,FALSE)*VLOOKUP(CONCATENATE($F69,"-",$N$2,"-",R$3),'Look-ups'!$I$3:$M$24,5,FALSE)</f>
        <v>421.71428571428567</v>
      </c>
      <c r="S69" s="117">
        <f>VLOOKUP(CONCATENATE($G69,"-",$F69,"-Lone Person"),'Look-ups'!$Y$4:$AG$35,5,FALSE)</f>
        <v>96.46000000000001</v>
      </c>
      <c r="T69">
        <f>VLOOKUP(CONCATENATE($G69,"-",$F69,"-Lone Person"),'Look-ups'!$Y$4:$AG$35,6,FALSE)</f>
        <v>136.74</v>
      </c>
      <c r="U69">
        <f>VLOOKUP(CONCATENATE($G69,"-",$F69,"-Lone Person"),'Look-ups'!$Y$4:$AG$35,7,FALSE)</f>
        <v>164.3</v>
      </c>
      <c r="V69">
        <f>VLOOKUP(CONCATENATE($G69,"-",$F69,"-Lone Person"),'Look-ups'!$Y$4:$AG$35,8,FALSE)</f>
        <v>201.4</v>
      </c>
      <c r="W69">
        <f>VLOOKUP(CONCATENATE($G69,"-",$F69,"-Lone Person"),'Look-ups'!$Y$4:$AG$35,9,FALSE)</f>
        <v>190.8</v>
      </c>
      <c r="X69" s="117">
        <f>VLOOKUP(CONCATENATE($G69,"-",$F69,"-Couple Only"),'Look-ups'!$Y$4:$AG$35,5,FALSE)</f>
        <v>154.76000000000002</v>
      </c>
      <c r="Y69">
        <f>VLOOKUP(CONCATENATE($G69,"-",$F69,"-Couple Only"),'Look-ups'!$Y$4:$AG$35,6,FALSE)</f>
        <v>147.34</v>
      </c>
      <c r="Z69">
        <f>VLOOKUP(CONCATENATE($G69,"-",$F69,"-Couple Only"),'Look-ups'!$Y$4:$AG$35,7,FALSE)</f>
        <v>166.42000000000002</v>
      </c>
      <c r="AA69">
        <f>VLOOKUP(CONCATENATE($G69,"-",$F69,"-Couple Only"),'Look-ups'!$Y$4:$AG$35,8,FALSE)</f>
        <v>183.38</v>
      </c>
      <c r="AB69">
        <f>VLOOKUP(CONCATENATE($G69,"-",$F69,"-Couple Only"),'Look-ups'!$Y$4:$AG$35,9,FALSE)</f>
        <v>230.02</v>
      </c>
      <c r="AC69">
        <v>36</v>
      </c>
      <c r="AD69" t="s">
        <v>166</v>
      </c>
      <c r="AE69" s="260">
        <f>VLOOKUP($AD69,'Look-ups'!$A$122:$G$130,5,FALSE)</f>
        <v>0.06050955414012739</v>
      </c>
      <c r="AF69" s="260">
        <f>VLOOKUP($AD69,'Look-ups'!$A$122:$G$130,6,FALSE)</f>
        <v>0.14171974522292993</v>
      </c>
      <c r="AG69" s="260">
        <f>VLOOKUP($AD69,'Look-ups'!$A$122:$G$130,7,FALSE)</f>
        <v>0.7977707006369427</v>
      </c>
      <c r="AH69" s="264">
        <f>VLOOKUP($AC69,'Look-ups'!$A$50:$AO$118,'Look-ups'!$B$133*4,FALSE)*0.277778</f>
        <v>0.5166081148685175</v>
      </c>
      <c r="AI69" s="264">
        <f>VLOOKUP($AC69,'Look-ups'!$A$50:$AO$118,'Look-ups'!$B$133*4+1,FALSE)*0.277778</f>
        <v>38.927867885131484</v>
      </c>
      <c r="AJ69" s="264">
        <f>AE69*$AH69/'Look-ups'!$B$141</f>
        <v>0.040862387837732966</v>
      </c>
      <c r="AK69" s="264">
        <f>AF69*$AH69/'Look-ups'!$B$140</f>
        <v>0.10029256221817044</v>
      </c>
      <c r="AL69" s="264">
        <f>AG69*$AH69/'Look-ups'!$B$137</f>
        <v>0.07850187004826427</v>
      </c>
      <c r="AM69" s="264">
        <f>AI69/'Look-ups'!$B$136</f>
        <v>8.195340607396101</v>
      </c>
      <c r="AN69" s="263">
        <f>AJ69*VLOOKUP($AD69,'Look-ups'!$A$123:$M$130,10,FALSE)</f>
        <v>0.011089598032629195</v>
      </c>
      <c r="AO69" s="263">
        <f>AK69*VLOOKUP($AD69,'Look-ups'!$A$123:$M$130,9,FALSE)</f>
        <v>0.02173420057317528</v>
      </c>
      <c r="AP69" s="263">
        <f>(AL69+AM69)*VLOOKUP($AD69,'Look-ups'!$A$123:$M$130,8,FALSE)</f>
        <v>2.0702257057562794</v>
      </c>
      <c r="AQ69" s="263">
        <f aca="true" t="shared" si="2" ref="AQ69:AQ113">SUM(AN69:AP69)</f>
        <v>2.103049504362084</v>
      </c>
      <c r="AR69" s="265">
        <f>AJ69*VLOOKUP($AD69,'Look-ups'!$A$123:$M$130,11,FALSE)</f>
        <v>0.00017653045831183913</v>
      </c>
      <c r="AS69" s="265">
        <f>AK69*VLOOKUP($AD69,'Look-ups'!$A$123:$M$130,12,FALSE)</f>
        <v>0.018605593588588844</v>
      </c>
      <c r="AT69" s="265">
        <f>(AL69+AM69)*VLOOKUP($AD69,'Look-ups'!$A$123:$M$130,13,FALSE)</f>
        <v>2.1123119844915466</v>
      </c>
      <c r="AU69" s="265">
        <f aca="true" t="shared" si="3" ref="AU69:AU113">SUM(AR69:AT69)</f>
        <v>2.131094108538447</v>
      </c>
    </row>
    <row r="70" spans="1:47" ht="15">
      <c r="A70">
        <v>3007</v>
      </c>
      <c r="B70" t="s">
        <v>358</v>
      </c>
      <c r="C70">
        <v>1251.27479999999</v>
      </c>
      <c r="D70">
        <v>693596</v>
      </c>
      <c r="E70">
        <v>554.3114909690546</v>
      </c>
      <c r="F70" t="s">
        <v>173</v>
      </c>
      <c r="G70" t="s">
        <v>166</v>
      </c>
      <c r="H70">
        <f>VLOOKUP(CONCATENATE($G70,"-",$F70,"-",$H$2),'Look-ups'!$O$3:$S$34,5,FALSE)*VLOOKUP(CONCATENATE($F70,"-",$H$2,"-",H$3),'Look-ups'!$I$3:$M$24,5,FALSE)</f>
        <v>199.33333333333331</v>
      </c>
      <c r="I70">
        <f>VLOOKUP(CONCATENATE($G70,"-",$F70,"-",$H$2),'Look-ups'!$O$3:$S$34,5,FALSE)*VLOOKUP(CONCATENATE($F70,"-",$H$2,"-",I$3),'Look-ups'!$I$3:$M$24,5,FALSE)</f>
        <v>299</v>
      </c>
      <c r="J70">
        <f>VLOOKUP(CONCATENATE($G70,"-",$F70,"-",$H$2),'Look-ups'!$O$3:$S$34,5,FALSE)*VLOOKUP(CONCATENATE($F70,"-",$H$2,"-",J$3),'Look-ups'!$I$3:$M$24,5,FALSE)</f>
        <v>348.83333333333337</v>
      </c>
      <c r="K70">
        <f>VLOOKUP(CONCATENATE($G70,"-",$F70,"-",$H$2),'Look-ups'!$O$3:$S$34,5,FALSE)*VLOOKUP(CONCATENATE($F70,"-",$H$2,"-",K$3),'Look-ups'!$I$3:$M$24,5,FALSE)</f>
        <v>448.5</v>
      </c>
      <c r="L70">
        <f>VLOOKUP(CONCATENATE($G70,"-",$F70,"-",$H$2),'Look-ups'!$O$3:$S$34,5,FALSE)*VLOOKUP(CONCATENATE($F70,"-",$H$2,"-",L$3),'Look-ups'!$I$3:$M$24,5,FALSE)</f>
        <v>498.33333333333337</v>
      </c>
      <c r="M70">
        <f>VLOOKUP(CONCATENATE($G70,"-",$F70,"-",$H$2),'Look-ups'!$O$3:$S$34,5,FALSE)*VLOOKUP(CONCATENATE($F70,"-",$H$2,"-",M$3),'Look-ups'!$I$3:$M$24,5,FALSE)</f>
        <v>548.1666666666666</v>
      </c>
      <c r="N70">
        <f>VLOOKUP(CONCATENATE($G70,"-",$F70,"-",$N$2),'Look-ups'!$O$3:$S$34,5,FALSE)*VLOOKUP(CONCATENATE($F70,"-",$N$2,"-",N$3),'Look-ups'!$I$3:$M$24,5,FALSE)</f>
        <v>216</v>
      </c>
      <c r="O70">
        <f>VLOOKUP(CONCATENATE($G70,"-",$F70,"-",$N$2),'Look-ups'!$O$3:$S$34,5,FALSE)*VLOOKUP(CONCATENATE($F70,"-",$N$2,"-",O$3),'Look-ups'!$I$3:$M$24,5,FALSE)</f>
        <v>216</v>
      </c>
      <c r="P70">
        <f>VLOOKUP(CONCATENATE($G70,"-",$F70,"-",$N$2),'Look-ups'!$O$3:$S$34,5,FALSE)*VLOOKUP(CONCATENATE($F70,"-",$N$2,"-",P$3),'Look-ups'!$I$3:$M$24,5,FALSE)</f>
        <v>288</v>
      </c>
      <c r="Q70">
        <f>VLOOKUP(CONCATENATE($G70,"-",$F70,"-",$N$2),'Look-ups'!$O$3:$S$34,5,FALSE)*VLOOKUP(CONCATENATE($F70,"-",$N$2,"-",Q$3),'Look-ups'!$I$3:$M$24,5,FALSE)</f>
        <v>370.28571428571433</v>
      </c>
      <c r="R70">
        <f>VLOOKUP(CONCATENATE($G70,"-",$F70,"-",$N$2),'Look-ups'!$O$3:$S$34,5,FALSE)*VLOOKUP(CONCATENATE($F70,"-",$N$2,"-",R$3),'Look-ups'!$I$3:$M$24,5,FALSE)</f>
        <v>421.71428571428567</v>
      </c>
      <c r="S70" s="117">
        <f>VLOOKUP(CONCATENATE($G70,"-",$F70,"-Lone Person"),'Look-ups'!$Y$4:$AG$35,5,FALSE)</f>
        <v>96.46000000000001</v>
      </c>
      <c r="T70">
        <f>VLOOKUP(CONCATENATE($G70,"-",$F70,"-Lone Person"),'Look-ups'!$Y$4:$AG$35,6,FALSE)</f>
        <v>136.74</v>
      </c>
      <c r="U70">
        <f>VLOOKUP(CONCATENATE($G70,"-",$F70,"-Lone Person"),'Look-ups'!$Y$4:$AG$35,7,FALSE)</f>
        <v>164.3</v>
      </c>
      <c r="V70">
        <f>VLOOKUP(CONCATENATE($G70,"-",$F70,"-Lone Person"),'Look-ups'!$Y$4:$AG$35,8,FALSE)</f>
        <v>201.4</v>
      </c>
      <c r="W70">
        <f>VLOOKUP(CONCATENATE($G70,"-",$F70,"-Lone Person"),'Look-ups'!$Y$4:$AG$35,9,FALSE)</f>
        <v>190.8</v>
      </c>
      <c r="X70" s="117">
        <f>VLOOKUP(CONCATENATE($G70,"-",$F70,"-Couple Only"),'Look-ups'!$Y$4:$AG$35,5,FALSE)</f>
        <v>154.76000000000002</v>
      </c>
      <c r="Y70">
        <f>VLOOKUP(CONCATENATE($G70,"-",$F70,"-Couple Only"),'Look-ups'!$Y$4:$AG$35,6,FALSE)</f>
        <v>147.34</v>
      </c>
      <c r="Z70">
        <f>VLOOKUP(CONCATENATE($G70,"-",$F70,"-Couple Only"),'Look-ups'!$Y$4:$AG$35,7,FALSE)</f>
        <v>166.42000000000002</v>
      </c>
      <c r="AA70">
        <f>VLOOKUP(CONCATENATE($G70,"-",$F70,"-Couple Only"),'Look-ups'!$Y$4:$AG$35,8,FALSE)</f>
        <v>183.38</v>
      </c>
      <c r="AB70">
        <f>VLOOKUP(CONCATENATE($G70,"-",$F70,"-Couple Only"),'Look-ups'!$Y$4:$AG$35,9,FALSE)</f>
        <v>230.02</v>
      </c>
      <c r="AC70">
        <v>10</v>
      </c>
      <c r="AD70" t="s">
        <v>166</v>
      </c>
      <c r="AE70" s="260">
        <f>VLOOKUP($AD70,'Look-ups'!$A$122:$G$130,5,FALSE)</f>
        <v>0.06050955414012739</v>
      </c>
      <c r="AF70" s="260">
        <f>VLOOKUP($AD70,'Look-ups'!$A$122:$G$130,6,FALSE)</f>
        <v>0.14171974522292993</v>
      </c>
      <c r="AG70" s="260">
        <f>VLOOKUP($AD70,'Look-ups'!$A$122:$G$130,7,FALSE)</f>
        <v>0.7977707006369427</v>
      </c>
      <c r="AH70" s="264">
        <f>VLOOKUP($AC70,'Look-ups'!$A$50:$AO$118,'Look-ups'!$B$133*4,FALSE)*0.277778</f>
        <v>5.039376206978595</v>
      </c>
      <c r="AI70" s="264">
        <f>VLOOKUP($AC70,'Look-ups'!$A$50:$AO$118,'Look-ups'!$B$133*4+1,FALSE)*0.277778</f>
        <v>28.57176179302141</v>
      </c>
      <c r="AJ70" s="264">
        <f>AE70*$AH70/'Look-ups'!$B$141</f>
        <v>0.39860183977600144</v>
      </c>
      <c r="AK70" s="264">
        <f>AF70*$AH70/'Look-ups'!$B$140</f>
        <v>0.9783275508705499</v>
      </c>
      <c r="AL70" s="264">
        <f>AG70*$AH70/'Look-ups'!$B$137</f>
        <v>0.7657650833170384</v>
      </c>
      <c r="AM70" s="264">
        <f>AI70/'Look-ups'!$B$136</f>
        <v>6.015107745899244</v>
      </c>
      <c r="AN70" s="263">
        <f>AJ70*VLOOKUP($AD70,'Look-ups'!$A$123:$M$130,10,FALSE)</f>
        <v>0.10817611040587594</v>
      </c>
      <c r="AO70" s="263">
        <f>AK70*VLOOKUP($AD70,'Look-ups'!$A$123:$M$130,9,FALSE)</f>
        <v>0.21201140689405515</v>
      </c>
      <c r="AP70" s="263">
        <f>(AL70+AM70)*VLOOKUP($AD70,'Look-ups'!$A$123:$M$130,8,FALSE)</f>
        <v>1.6966647935076369</v>
      </c>
      <c r="AQ70" s="263">
        <f t="shared" si="2"/>
        <v>2.016852310807568</v>
      </c>
      <c r="AR70" s="265">
        <f>AJ70*VLOOKUP($AD70,'Look-ups'!$A$123:$M$130,11,FALSE)</f>
        <v>0.00172200816406092</v>
      </c>
      <c r="AS70" s="265">
        <f>AK70*VLOOKUP($AD70,'Look-ups'!$A$123:$M$130,12,FALSE)</f>
        <v>0.18149266910162884</v>
      </c>
      <c r="AT70" s="265">
        <f>(AL70+AM70)*VLOOKUP($AD70,'Look-ups'!$A$123:$M$130,13,FALSE)</f>
        <v>1.7311568332989171</v>
      </c>
      <c r="AU70" s="265">
        <f t="shared" si="3"/>
        <v>1.9143715105646069</v>
      </c>
    </row>
    <row r="71" spans="1:47" ht="15">
      <c r="A71">
        <v>3008</v>
      </c>
      <c r="B71" t="s">
        <v>359</v>
      </c>
      <c r="C71">
        <v>69.4615</v>
      </c>
      <c r="D71">
        <v>22424</v>
      </c>
      <c r="E71">
        <v>322.8263138573166</v>
      </c>
      <c r="F71" t="s">
        <v>173</v>
      </c>
      <c r="G71" t="s">
        <v>166</v>
      </c>
      <c r="H71">
        <f>VLOOKUP(CONCATENATE($G71,"-",$F71,"-",$H$2),'Look-ups'!$O$3:$S$34,5,FALSE)*VLOOKUP(CONCATENATE($F71,"-",$H$2,"-",H$3),'Look-ups'!$I$3:$M$24,5,FALSE)</f>
        <v>199.33333333333331</v>
      </c>
      <c r="I71">
        <f>VLOOKUP(CONCATENATE($G71,"-",$F71,"-",$H$2),'Look-ups'!$O$3:$S$34,5,FALSE)*VLOOKUP(CONCATENATE($F71,"-",$H$2,"-",I$3),'Look-ups'!$I$3:$M$24,5,FALSE)</f>
        <v>299</v>
      </c>
      <c r="J71">
        <f>VLOOKUP(CONCATENATE($G71,"-",$F71,"-",$H$2),'Look-ups'!$O$3:$S$34,5,FALSE)*VLOOKUP(CONCATENATE($F71,"-",$H$2,"-",J$3),'Look-ups'!$I$3:$M$24,5,FALSE)</f>
        <v>348.83333333333337</v>
      </c>
      <c r="K71">
        <f>VLOOKUP(CONCATENATE($G71,"-",$F71,"-",$H$2),'Look-ups'!$O$3:$S$34,5,FALSE)*VLOOKUP(CONCATENATE($F71,"-",$H$2,"-",K$3),'Look-ups'!$I$3:$M$24,5,FALSE)</f>
        <v>448.5</v>
      </c>
      <c r="L71">
        <f>VLOOKUP(CONCATENATE($G71,"-",$F71,"-",$H$2),'Look-ups'!$O$3:$S$34,5,FALSE)*VLOOKUP(CONCATENATE($F71,"-",$H$2,"-",L$3),'Look-ups'!$I$3:$M$24,5,FALSE)</f>
        <v>498.33333333333337</v>
      </c>
      <c r="M71">
        <f>VLOOKUP(CONCATENATE($G71,"-",$F71,"-",$H$2),'Look-ups'!$O$3:$S$34,5,FALSE)*VLOOKUP(CONCATENATE($F71,"-",$H$2,"-",M$3),'Look-ups'!$I$3:$M$24,5,FALSE)</f>
        <v>548.1666666666666</v>
      </c>
      <c r="N71">
        <f>VLOOKUP(CONCATENATE($G71,"-",$F71,"-",$N$2),'Look-ups'!$O$3:$S$34,5,FALSE)*VLOOKUP(CONCATENATE($F71,"-",$N$2,"-",N$3),'Look-ups'!$I$3:$M$24,5,FALSE)</f>
        <v>216</v>
      </c>
      <c r="O71">
        <f>VLOOKUP(CONCATENATE($G71,"-",$F71,"-",$N$2),'Look-ups'!$O$3:$S$34,5,FALSE)*VLOOKUP(CONCATENATE($F71,"-",$N$2,"-",O$3),'Look-ups'!$I$3:$M$24,5,FALSE)</f>
        <v>216</v>
      </c>
      <c r="P71">
        <f>VLOOKUP(CONCATENATE($G71,"-",$F71,"-",$N$2),'Look-ups'!$O$3:$S$34,5,FALSE)*VLOOKUP(CONCATENATE($F71,"-",$N$2,"-",P$3),'Look-ups'!$I$3:$M$24,5,FALSE)</f>
        <v>288</v>
      </c>
      <c r="Q71">
        <f>VLOOKUP(CONCATENATE($G71,"-",$F71,"-",$N$2),'Look-ups'!$O$3:$S$34,5,FALSE)*VLOOKUP(CONCATENATE($F71,"-",$N$2,"-",Q$3),'Look-ups'!$I$3:$M$24,5,FALSE)</f>
        <v>370.28571428571433</v>
      </c>
      <c r="R71">
        <f>VLOOKUP(CONCATENATE($G71,"-",$F71,"-",$N$2),'Look-ups'!$O$3:$S$34,5,FALSE)*VLOOKUP(CONCATENATE($F71,"-",$N$2,"-",R$3),'Look-ups'!$I$3:$M$24,5,FALSE)</f>
        <v>421.71428571428567</v>
      </c>
      <c r="S71" s="117">
        <f>VLOOKUP(CONCATENATE($G71,"-",$F71,"-Lone Person"),'Look-ups'!$Y$4:$AG$35,5,FALSE)</f>
        <v>96.46000000000001</v>
      </c>
      <c r="T71">
        <f>VLOOKUP(CONCATENATE($G71,"-",$F71,"-Lone Person"),'Look-ups'!$Y$4:$AG$35,6,FALSE)</f>
        <v>136.74</v>
      </c>
      <c r="U71">
        <f>VLOOKUP(CONCATENATE($G71,"-",$F71,"-Lone Person"),'Look-ups'!$Y$4:$AG$35,7,FALSE)</f>
        <v>164.3</v>
      </c>
      <c r="V71">
        <f>VLOOKUP(CONCATENATE($G71,"-",$F71,"-Lone Person"),'Look-ups'!$Y$4:$AG$35,8,FALSE)</f>
        <v>201.4</v>
      </c>
      <c r="W71">
        <f>VLOOKUP(CONCATENATE($G71,"-",$F71,"-Lone Person"),'Look-ups'!$Y$4:$AG$35,9,FALSE)</f>
        <v>190.8</v>
      </c>
      <c r="X71" s="117">
        <f>VLOOKUP(CONCATENATE($G71,"-",$F71,"-Couple Only"),'Look-ups'!$Y$4:$AG$35,5,FALSE)</f>
        <v>154.76000000000002</v>
      </c>
      <c r="Y71">
        <f>VLOOKUP(CONCATENATE($G71,"-",$F71,"-Couple Only"),'Look-ups'!$Y$4:$AG$35,6,FALSE)</f>
        <v>147.34</v>
      </c>
      <c r="Z71">
        <f>VLOOKUP(CONCATENATE($G71,"-",$F71,"-Couple Only"),'Look-ups'!$Y$4:$AG$35,7,FALSE)</f>
        <v>166.42000000000002</v>
      </c>
      <c r="AA71">
        <f>VLOOKUP(CONCATENATE($G71,"-",$F71,"-Couple Only"),'Look-ups'!$Y$4:$AG$35,8,FALSE)</f>
        <v>183.38</v>
      </c>
      <c r="AB71">
        <f>VLOOKUP(CONCATENATE($G71,"-",$F71,"-Couple Only"),'Look-ups'!$Y$4:$AG$35,9,FALSE)</f>
        <v>230.02</v>
      </c>
      <c r="AC71">
        <v>9</v>
      </c>
      <c r="AD71" t="s">
        <v>166</v>
      </c>
      <c r="AE71" s="260">
        <f>VLOOKUP($AD71,'Look-ups'!$A$122:$G$130,5,FALSE)</f>
        <v>0.06050955414012739</v>
      </c>
      <c r="AF71" s="260">
        <f>VLOOKUP($AD71,'Look-ups'!$A$122:$G$130,6,FALSE)</f>
        <v>0.14171974522292993</v>
      </c>
      <c r="AG71" s="260">
        <f>VLOOKUP($AD71,'Look-ups'!$A$122:$G$130,7,FALSE)</f>
        <v>0.7977707006369427</v>
      </c>
      <c r="AH71" s="264">
        <f>VLOOKUP($AC71,'Look-ups'!$A$50:$AO$118,'Look-ups'!$B$133*4,FALSE)*0.277778</f>
        <v>14.028700976231834</v>
      </c>
      <c r="AI71" s="264">
        <f>VLOOKUP($AC71,'Look-ups'!$A$50:$AO$118,'Look-ups'!$B$133*4+1,FALSE)*0.277778</f>
        <v>33.47133702376817</v>
      </c>
      <c r="AJ71" s="264">
        <f>AE71*$AH71/'Look-ups'!$B$141</f>
        <v>1.1096345637084422</v>
      </c>
      <c r="AK71" s="264">
        <f>AF71*$AH71/'Look-ups'!$B$140</f>
        <v>2.723484833096225</v>
      </c>
      <c r="AL71" s="264">
        <f>AG71*$AH71/'Look-ups'!$B$137</f>
        <v>2.131749829873263</v>
      </c>
      <c r="AM71" s="264">
        <f>AI71/'Look-ups'!$B$136</f>
        <v>7.046597268161721</v>
      </c>
      <c r="AN71" s="263">
        <f>AJ71*VLOOKUP($AD71,'Look-ups'!$A$123:$M$130,10,FALSE)</f>
        <v>0.30114249131754106</v>
      </c>
      <c r="AO71" s="263">
        <f>AK71*VLOOKUP($AD71,'Look-ups'!$A$123:$M$130,9,FALSE)</f>
        <v>0.5902009512106168</v>
      </c>
      <c r="AP71" s="263">
        <f>(AL71+AM71)*VLOOKUP($AD71,'Look-ups'!$A$123:$M$130,8,FALSE)</f>
        <v>2.2965448218896602</v>
      </c>
      <c r="AQ71" s="263">
        <f t="shared" si="2"/>
        <v>3.1878882644178184</v>
      </c>
      <c r="AR71" s="265">
        <f>AJ71*VLOOKUP($AD71,'Look-ups'!$A$123:$M$130,11,FALSE)</f>
        <v>0.0047937555403756</v>
      </c>
      <c r="AS71" s="265">
        <f>AK71*VLOOKUP($AD71,'Look-ups'!$A$123:$M$130,12,FALSE)</f>
        <v>0.5052423712044083</v>
      </c>
      <c r="AT71" s="265">
        <f>(AL71+AM71)*VLOOKUP($AD71,'Look-ups'!$A$123:$M$130,13,FALSE)</f>
        <v>2.3432320141283314</v>
      </c>
      <c r="AU71" s="265">
        <f t="shared" si="3"/>
        <v>2.8532681408731153</v>
      </c>
    </row>
    <row r="72" spans="1:47" ht="15">
      <c r="A72">
        <v>3009</v>
      </c>
      <c r="B72" t="s">
        <v>360</v>
      </c>
      <c r="C72">
        <v>93.2155999999999</v>
      </c>
      <c r="D72">
        <v>57722</v>
      </c>
      <c r="E72">
        <v>619.2311158218159</v>
      </c>
      <c r="F72" t="s">
        <v>173</v>
      </c>
      <c r="G72" t="s">
        <v>166</v>
      </c>
      <c r="H72">
        <f>VLOOKUP(CONCATENATE($G72,"-",$F72,"-",$H$2),'Look-ups'!$O$3:$S$34,5,FALSE)*VLOOKUP(CONCATENATE($F72,"-",$H$2,"-",H$3),'Look-ups'!$I$3:$M$24,5,FALSE)</f>
        <v>199.33333333333331</v>
      </c>
      <c r="I72">
        <f>VLOOKUP(CONCATENATE($G72,"-",$F72,"-",$H$2),'Look-ups'!$O$3:$S$34,5,FALSE)*VLOOKUP(CONCATENATE($F72,"-",$H$2,"-",I$3),'Look-ups'!$I$3:$M$24,5,FALSE)</f>
        <v>299</v>
      </c>
      <c r="J72">
        <f>VLOOKUP(CONCATENATE($G72,"-",$F72,"-",$H$2),'Look-ups'!$O$3:$S$34,5,FALSE)*VLOOKUP(CONCATENATE($F72,"-",$H$2,"-",J$3),'Look-ups'!$I$3:$M$24,5,FALSE)</f>
        <v>348.83333333333337</v>
      </c>
      <c r="K72">
        <f>VLOOKUP(CONCATENATE($G72,"-",$F72,"-",$H$2),'Look-ups'!$O$3:$S$34,5,FALSE)*VLOOKUP(CONCATENATE($F72,"-",$H$2,"-",K$3),'Look-ups'!$I$3:$M$24,5,FALSE)</f>
        <v>448.5</v>
      </c>
      <c r="L72">
        <f>VLOOKUP(CONCATENATE($G72,"-",$F72,"-",$H$2),'Look-ups'!$O$3:$S$34,5,FALSE)*VLOOKUP(CONCATENATE($F72,"-",$H$2,"-",L$3),'Look-ups'!$I$3:$M$24,5,FALSE)</f>
        <v>498.33333333333337</v>
      </c>
      <c r="M72">
        <f>VLOOKUP(CONCATENATE($G72,"-",$F72,"-",$H$2),'Look-ups'!$O$3:$S$34,5,FALSE)*VLOOKUP(CONCATENATE($F72,"-",$H$2,"-",M$3),'Look-ups'!$I$3:$M$24,5,FALSE)</f>
        <v>548.1666666666666</v>
      </c>
      <c r="N72">
        <f>VLOOKUP(CONCATENATE($G72,"-",$F72,"-",$N$2),'Look-ups'!$O$3:$S$34,5,FALSE)*VLOOKUP(CONCATENATE($F72,"-",$N$2,"-",N$3),'Look-ups'!$I$3:$M$24,5,FALSE)</f>
        <v>216</v>
      </c>
      <c r="O72">
        <f>VLOOKUP(CONCATENATE($G72,"-",$F72,"-",$N$2),'Look-ups'!$O$3:$S$34,5,FALSE)*VLOOKUP(CONCATENATE($F72,"-",$N$2,"-",O$3),'Look-ups'!$I$3:$M$24,5,FALSE)</f>
        <v>216</v>
      </c>
      <c r="P72">
        <f>VLOOKUP(CONCATENATE($G72,"-",$F72,"-",$N$2),'Look-ups'!$O$3:$S$34,5,FALSE)*VLOOKUP(CONCATENATE($F72,"-",$N$2,"-",P$3),'Look-ups'!$I$3:$M$24,5,FALSE)</f>
        <v>288</v>
      </c>
      <c r="Q72">
        <f>VLOOKUP(CONCATENATE($G72,"-",$F72,"-",$N$2),'Look-ups'!$O$3:$S$34,5,FALSE)*VLOOKUP(CONCATENATE($F72,"-",$N$2,"-",Q$3),'Look-ups'!$I$3:$M$24,5,FALSE)</f>
        <v>370.28571428571433</v>
      </c>
      <c r="R72">
        <f>VLOOKUP(CONCATENATE($G72,"-",$F72,"-",$N$2),'Look-ups'!$O$3:$S$34,5,FALSE)*VLOOKUP(CONCATENATE($F72,"-",$N$2,"-",R$3),'Look-ups'!$I$3:$M$24,5,FALSE)</f>
        <v>421.71428571428567</v>
      </c>
      <c r="S72" s="117">
        <f>VLOOKUP(CONCATENATE($G72,"-",$F72,"-Lone Person"),'Look-ups'!$Y$4:$AG$35,5,FALSE)</f>
        <v>96.46000000000001</v>
      </c>
      <c r="T72">
        <f>VLOOKUP(CONCATENATE($G72,"-",$F72,"-Lone Person"),'Look-ups'!$Y$4:$AG$35,6,FALSE)</f>
        <v>136.74</v>
      </c>
      <c r="U72">
        <f>VLOOKUP(CONCATENATE($G72,"-",$F72,"-Lone Person"),'Look-ups'!$Y$4:$AG$35,7,FALSE)</f>
        <v>164.3</v>
      </c>
      <c r="V72">
        <f>VLOOKUP(CONCATENATE($G72,"-",$F72,"-Lone Person"),'Look-ups'!$Y$4:$AG$35,8,FALSE)</f>
        <v>201.4</v>
      </c>
      <c r="W72">
        <f>VLOOKUP(CONCATENATE($G72,"-",$F72,"-Lone Person"),'Look-ups'!$Y$4:$AG$35,9,FALSE)</f>
        <v>190.8</v>
      </c>
      <c r="X72" s="117">
        <f>VLOOKUP(CONCATENATE($G72,"-",$F72,"-Couple Only"),'Look-ups'!$Y$4:$AG$35,5,FALSE)</f>
        <v>154.76000000000002</v>
      </c>
      <c r="Y72">
        <f>VLOOKUP(CONCATENATE($G72,"-",$F72,"-Couple Only"),'Look-ups'!$Y$4:$AG$35,6,FALSE)</f>
        <v>147.34</v>
      </c>
      <c r="Z72">
        <f>VLOOKUP(CONCATENATE($G72,"-",$F72,"-Couple Only"),'Look-ups'!$Y$4:$AG$35,7,FALSE)</f>
        <v>166.42000000000002</v>
      </c>
      <c r="AA72">
        <f>VLOOKUP(CONCATENATE($G72,"-",$F72,"-Couple Only"),'Look-ups'!$Y$4:$AG$35,8,FALSE)</f>
        <v>183.38</v>
      </c>
      <c r="AB72">
        <f>VLOOKUP(CONCATENATE($G72,"-",$F72,"-Couple Only"),'Look-ups'!$Y$4:$AG$35,9,FALSE)</f>
        <v>230.02</v>
      </c>
      <c r="AC72">
        <v>36</v>
      </c>
      <c r="AD72" t="s">
        <v>166</v>
      </c>
      <c r="AE72" s="260">
        <f>VLOOKUP($AD72,'Look-ups'!$A$122:$G$130,5,FALSE)</f>
        <v>0.06050955414012739</v>
      </c>
      <c r="AF72" s="260">
        <f>VLOOKUP($AD72,'Look-ups'!$A$122:$G$130,6,FALSE)</f>
        <v>0.14171974522292993</v>
      </c>
      <c r="AG72" s="260">
        <f>VLOOKUP($AD72,'Look-ups'!$A$122:$G$130,7,FALSE)</f>
        <v>0.7977707006369427</v>
      </c>
      <c r="AH72" s="264">
        <f>VLOOKUP($AC72,'Look-ups'!$A$50:$AO$118,'Look-ups'!$B$133*4,FALSE)*0.277778</f>
        <v>0.5166081148685175</v>
      </c>
      <c r="AI72" s="264">
        <f>VLOOKUP($AC72,'Look-ups'!$A$50:$AO$118,'Look-ups'!$B$133*4+1,FALSE)*0.277778</f>
        <v>38.927867885131484</v>
      </c>
      <c r="AJ72" s="264">
        <f>AE72*$AH72/'Look-ups'!$B$141</f>
        <v>0.040862387837732966</v>
      </c>
      <c r="AK72" s="264">
        <f>AF72*$AH72/'Look-ups'!$B$140</f>
        <v>0.10029256221817044</v>
      </c>
      <c r="AL72" s="264">
        <f>AG72*$AH72/'Look-ups'!$B$137</f>
        <v>0.07850187004826427</v>
      </c>
      <c r="AM72" s="264">
        <f>AI72/'Look-ups'!$B$136</f>
        <v>8.195340607396101</v>
      </c>
      <c r="AN72" s="263">
        <f>AJ72*VLOOKUP($AD72,'Look-ups'!$A$123:$M$130,10,FALSE)</f>
        <v>0.011089598032629195</v>
      </c>
      <c r="AO72" s="263">
        <f>AK72*VLOOKUP($AD72,'Look-ups'!$A$123:$M$130,9,FALSE)</f>
        <v>0.02173420057317528</v>
      </c>
      <c r="AP72" s="263">
        <f>(AL72+AM72)*VLOOKUP($AD72,'Look-ups'!$A$123:$M$130,8,FALSE)</f>
        <v>2.0702257057562794</v>
      </c>
      <c r="AQ72" s="263">
        <f t="shared" si="2"/>
        <v>2.103049504362084</v>
      </c>
      <c r="AR72" s="265">
        <f>AJ72*VLOOKUP($AD72,'Look-ups'!$A$123:$M$130,11,FALSE)</f>
        <v>0.00017653045831183913</v>
      </c>
      <c r="AS72" s="265">
        <f>AK72*VLOOKUP($AD72,'Look-ups'!$A$123:$M$130,12,FALSE)</f>
        <v>0.018605593588588844</v>
      </c>
      <c r="AT72" s="265">
        <f>(AL72+AM72)*VLOOKUP($AD72,'Look-ups'!$A$123:$M$130,13,FALSE)</f>
        <v>2.1123119844915466</v>
      </c>
      <c r="AU72" s="265">
        <f t="shared" si="3"/>
        <v>2.131094108538447</v>
      </c>
    </row>
    <row r="73" spans="1:47" ht="15">
      <c r="A73">
        <v>3010</v>
      </c>
      <c r="B73" t="s">
        <v>361</v>
      </c>
      <c r="C73">
        <v>70.1948</v>
      </c>
      <c r="D73">
        <v>10545</v>
      </c>
      <c r="E73">
        <v>150.22480297685868</v>
      </c>
      <c r="F73" t="s">
        <v>173</v>
      </c>
      <c r="G73" t="s">
        <v>166</v>
      </c>
      <c r="H73">
        <f>VLOOKUP(CONCATENATE($G73,"-",$F73,"-",$H$2),'Look-ups'!$O$3:$S$34,5,FALSE)*VLOOKUP(CONCATENATE($F73,"-",$H$2,"-",H$3),'Look-ups'!$I$3:$M$24,5,FALSE)</f>
        <v>199.33333333333331</v>
      </c>
      <c r="I73">
        <f>VLOOKUP(CONCATENATE($G73,"-",$F73,"-",$H$2),'Look-ups'!$O$3:$S$34,5,FALSE)*VLOOKUP(CONCATENATE($F73,"-",$H$2,"-",I$3),'Look-ups'!$I$3:$M$24,5,FALSE)</f>
        <v>299</v>
      </c>
      <c r="J73">
        <f>VLOOKUP(CONCATENATE($G73,"-",$F73,"-",$H$2),'Look-ups'!$O$3:$S$34,5,FALSE)*VLOOKUP(CONCATENATE($F73,"-",$H$2,"-",J$3),'Look-ups'!$I$3:$M$24,5,FALSE)</f>
        <v>348.83333333333337</v>
      </c>
      <c r="K73">
        <f>VLOOKUP(CONCATENATE($G73,"-",$F73,"-",$H$2),'Look-ups'!$O$3:$S$34,5,FALSE)*VLOOKUP(CONCATENATE($F73,"-",$H$2,"-",K$3),'Look-ups'!$I$3:$M$24,5,FALSE)</f>
        <v>448.5</v>
      </c>
      <c r="L73">
        <f>VLOOKUP(CONCATENATE($G73,"-",$F73,"-",$H$2),'Look-ups'!$O$3:$S$34,5,FALSE)*VLOOKUP(CONCATENATE($F73,"-",$H$2,"-",L$3),'Look-ups'!$I$3:$M$24,5,FALSE)</f>
        <v>498.33333333333337</v>
      </c>
      <c r="M73">
        <f>VLOOKUP(CONCATENATE($G73,"-",$F73,"-",$H$2),'Look-ups'!$O$3:$S$34,5,FALSE)*VLOOKUP(CONCATENATE($F73,"-",$H$2,"-",M$3),'Look-ups'!$I$3:$M$24,5,FALSE)</f>
        <v>548.1666666666666</v>
      </c>
      <c r="N73">
        <f>VLOOKUP(CONCATENATE($G73,"-",$F73,"-",$N$2),'Look-ups'!$O$3:$S$34,5,FALSE)*VLOOKUP(CONCATENATE($F73,"-",$N$2,"-",N$3),'Look-ups'!$I$3:$M$24,5,FALSE)</f>
        <v>216</v>
      </c>
      <c r="O73">
        <f>VLOOKUP(CONCATENATE($G73,"-",$F73,"-",$N$2),'Look-ups'!$O$3:$S$34,5,FALSE)*VLOOKUP(CONCATENATE($F73,"-",$N$2,"-",O$3),'Look-ups'!$I$3:$M$24,5,FALSE)</f>
        <v>216</v>
      </c>
      <c r="P73">
        <f>VLOOKUP(CONCATENATE($G73,"-",$F73,"-",$N$2),'Look-ups'!$O$3:$S$34,5,FALSE)*VLOOKUP(CONCATENATE($F73,"-",$N$2,"-",P$3),'Look-ups'!$I$3:$M$24,5,FALSE)</f>
        <v>288</v>
      </c>
      <c r="Q73">
        <f>VLOOKUP(CONCATENATE($G73,"-",$F73,"-",$N$2),'Look-ups'!$O$3:$S$34,5,FALSE)*VLOOKUP(CONCATENATE($F73,"-",$N$2,"-",Q$3),'Look-ups'!$I$3:$M$24,5,FALSE)</f>
        <v>370.28571428571433</v>
      </c>
      <c r="R73">
        <f>VLOOKUP(CONCATENATE($G73,"-",$F73,"-",$N$2),'Look-ups'!$O$3:$S$34,5,FALSE)*VLOOKUP(CONCATENATE($F73,"-",$N$2,"-",R$3),'Look-ups'!$I$3:$M$24,5,FALSE)</f>
        <v>421.71428571428567</v>
      </c>
      <c r="S73" s="117">
        <f>VLOOKUP(CONCATENATE($G73,"-",$F73,"-Lone Person"),'Look-ups'!$Y$4:$AG$35,5,FALSE)</f>
        <v>96.46000000000001</v>
      </c>
      <c r="T73">
        <f>VLOOKUP(CONCATENATE($G73,"-",$F73,"-Lone Person"),'Look-ups'!$Y$4:$AG$35,6,FALSE)</f>
        <v>136.74</v>
      </c>
      <c r="U73">
        <f>VLOOKUP(CONCATENATE($G73,"-",$F73,"-Lone Person"),'Look-ups'!$Y$4:$AG$35,7,FALSE)</f>
        <v>164.3</v>
      </c>
      <c r="V73">
        <f>VLOOKUP(CONCATENATE($G73,"-",$F73,"-Lone Person"),'Look-ups'!$Y$4:$AG$35,8,FALSE)</f>
        <v>201.4</v>
      </c>
      <c r="W73">
        <f>VLOOKUP(CONCATENATE($G73,"-",$F73,"-Lone Person"),'Look-ups'!$Y$4:$AG$35,9,FALSE)</f>
        <v>190.8</v>
      </c>
      <c r="X73" s="117">
        <f>VLOOKUP(CONCATENATE($G73,"-",$F73,"-Couple Only"),'Look-ups'!$Y$4:$AG$35,5,FALSE)</f>
        <v>154.76000000000002</v>
      </c>
      <c r="Y73">
        <f>VLOOKUP(CONCATENATE($G73,"-",$F73,"-Couple Only"),'Look-ups'!$Y$4:$AG$35,6,FALSE)</f>
        <v>147.34</v>
      </c>
      <c r="Z73">
        <f>VLOOKUP(CONCATENATE($G73,"-",$F73,"-Couple Only"),'Look-ups'!$Y$4:$AG$35,7,FALSE)</f>
        <v>166.42000000000002</v>
      </c>
      <c r="AA73">
        <f>VLOOKUP(CONCATENATE($G73,"-",$F73,"-Couple Only"),'Look-ups'!$Y$4:$AG$35,8,FALSE)</f>
        <v>183.38</v>
      </c>
      <c r="AB73">
        <f>VLOOKUP(CONCATENATE($G73,"-",$F73,"-Couple Only"),'Look-ups'!$Y$4:$AG$35,9,FALSE)</f>
        <v>230.02</v>
      </c>
      <c r="AC73">
        <v>9</v>
      </c>
      <c r="AD73" t="s">
        <v>166</v>
      </c>
      <c r="AE73" s="260">
        <f>VLOOKUP($AD73,'Look-ups'!$A$122:$G$130,5,FALSE)</f>
        <v>0.06050955414012739</v>
      </c>
      <c r="AF73" s="260">
        <f>VLOOKUP($AD73,'Look-ups'!$A$122:$G$130,6,FALSE)</f>
        <v>0.14171974522292993</v>
      </c>
      <c r="AG73" s="260">
        <f>VLOOKUP($AD73,'Look-ups'!$A$122:$G$130,7,FALSE)</f>
        <v>0.7977707006369427</v>
      </c>
      <c r="AH73" s="264">
        <f>VLOOKUP($AC73,'Look-ups'!$A$50:$AO$118,'Look-ups'!$B$133*4,FALSE)*0.277778</f>
        <v>14.028700976231834</v>
      </c>
      <c r="AI73" s="264">
        <f>VLOOKUP($AC73,'Look-ups'!$A$50:$AO$118,'Look-ups'!$B$133*4+1,FALSE)*0.277778</f>
        <v>33.47133702376817</v>
      </c>
      <c r="AJ73" s="264">
        <f>AE73*$AH73/'Look-ups'!$B$141</f>
        <v>1.1096345637084422</v>
      </c>
      <c r="AK73" s="264">
        <f>AF73*$AH73/'Look-ups'!$B$140</f>
        <v>2.723484833096225</v>
      </c>
      <c r="AL73" s="264">
        <f>AG73*$AH73/'Look-ups'!$B$137</f>
        <v>2.131749829873263</v>
      </c>
      <c r="AM73" s="264">
        <f>AI73/'Look-ups'!$B$136</f>
        <v>7.046597268161721</v>
      </c>
      <c r="AN73" s="263">
        <f>AJ73*VLOOKUP($AD73,'Look-ups'!$A$123:$M$130,10,FALSE)</f>
        <v>0.30114249131754106</v>
      </c>
      <c r="AO73" s="263">
        <f>AK73*VLOOKUP($AD73,'Look-ups'!$A$123:$M$130,9,FALSE)</f>
        <v>0.5902009512106168</v>
      </c>
      <c r="AP73" s="263">
        <f>(AL73+AM73)*VLOOKUP($AD73,'Look-ups'!$A$123:$M$130,8,FALSE)</f>
        <v>2.2965448218896602</v>
      </c>
      <c r="AQ73" s="263">
        <f t="shared" si="2"/>
        <v>3.1878882644178184</v>
      </c>
      <c r="AR73" s="265">
        <f>AJ73*VLOOKUP($AD73,'Look-ups'!$A$123:$M$130,11,FALSE)</f>
        <v>0.0047937555403756</v>
      </c>
      <c r="AS73" s="265">
        <f>AK73*VLOOKUP($AD73,'Look-ups'!$A$123:$M$130,12,FALSE)</f>
        <v>0.5052423712044083</v>
      </c>
      <c r="AT73" s="265">
        <f>(AL73+AM73)*VLOOKUP($AD73,'Look-ups'!$A$123:$M$130,13,FALSE)</f>
        <v>2.3432320141283314</v>
      </c>
      <c r="AU73" s="265">
        <f t="shared" si="3"/>
        <v>2.8532681408731153</v>
      </c>
    </row>
    <row r="74" spans="1:47" ht="15">
      <c r="A74">
        <v>3011</v>
      </c>
      <c r="B74" t="s">
        <v>362</v>
      </c>
      <c r="C74">
        <v>212.4281</v>
      </c>
      <c r="D74">
        <v>84333</v>
      </c>
      <c r="E74">
        <v>396.99550106600776</v>
      </c>
      <c r="F74" t="s">
        <v>173</v>
      </c>
      <c r="G74" t="s">
        <v>166</v>
      </c>
      <c r="H74">
        <f>VLOOKUP(CONCATENATE($G74,"-",$F74,"-",$H$2),'Look-ups'!$O$3:$S$34,5,FALSE)*VLOOKUP(CONCATENATE($F74,"-",$H$2,"-",H$3),'Look-ups'!$I$3:$M$24,5,FALSE)</f>
        <v>199.33333333333331</v>
      </c>
      <c r="I74">
        <f>VLOOKUP(CONCATENATE($G74,"-",$F74,"-",$H$2),'Look-ups'!$O$3:$S$34,5,FALSE)*VLOOKUP(CONCATENATE($F74,"-",$H$2,"-",I$3),'Look-ups'!$I$3:$M$24,5,FALSE)</f>
        <v>299</v>
      </c>
      <c r="J74">
        <f>VLOOKUP(CONCATENATE($G74,"-",$F74,"-",$H$2),'Look-ups'!$O$3:$S$34,5,FALSE)*VLOOKUP(CONCATENATE($F74,"-",$H$2,"-",J$3),'Look-ups'!$I$3:$M$24,5,FALSE)</f>
        <v>348.83333333333337</v>
      </c>
      <c r="K74">
        <f>VLOOKUP(CONCATENATE($G74,"-",$F74,"-",$H$2),'Look-ups'!$O$3:$S$34,5,FALSE)*VLOOKUP(CONCATENATE($F74,"-",$H$2,"-",K$3),'Look-ups'!$I$3:$M$24,5,FALSE)</f>
        <v>448.5</v>
      </c>
      <c r="L74">
        <f>VLOOKUP(CONCATENATE($G74,"-",$F74,"-",$H$2),'Look-ups'!$O$3:$S$34,5,FALSE)*VLOOKUP(CONCATENATE($F74,"-",$H$2,"-",L$3),'Look-ups'!$I$3:$M$24,5,FALSE)</f>
        <v>498.33333333333337</v>
      </c>
      <c r="M74">
        <f>VLOOKUP(CONCATENATE($G74,"-",$F74,"-",$H$2),'Look-ups'!$O$3:$S$34,5,FALSE)*VLOOKUP(CONCATENATE($F74,"-",$H$2,"-",M$3),'Look-ups'!$I$3:$M$24,5,FALSE)</f>
        <v>548.1666666666666</v>
      </c>
      <c r="N74">
        <f>VLOOKUP(CONCATENATE($G74,"-",$F74,"-",$N$2),'Look-ups'!$O$3:$S$34,5,FALSE)*VLOOKUP(CONCATENATE($F74,"-",$N$2,"-",N$3),'Look-ups'!$I$3:$M$24,5,FALSE)</f>
        <v>216</v>
      </c>
      <c r="O74">
        <f>VLOOKUP(CONCATENATE($G74,"-",$F74,"-",$N$2),'Look-ups'!$O$3:$S$34,5,FALSE)*VLOOKUP(CONCATENATE($F74,"-",$N$2,"-",O$3),'Look-ups'!$I$3:$M$24,5,FALSE)</f>
        <v>216</v>
      </c>
      <c r="P74">
        <f>VLOOKUP(CONCATENATE($G74,"-",$F74,"-",$N$2),'Look-ups'!$O$3:$S$34,5,FALSE)*VLOOKUP(CONCATENATE($F74,"-",$N$2,"-",P$3),'Look-ups'!$I$3:$M$24,5,FALSE)</f>
        <v>288</v>
      </c>
      <c r="Q74">
        <f>VLOOKUP(CONCATENATE($G74,"-",$F74,"-",$N$2),'Look-ups'!$O$3:$S$34,5,FALSE)*VLOOKUP(CONCATENATE($F74,"-",$N$2,"-",Q$3),'Look-ups'!$I$3:$M$24,5,FALSE)</f>
        <v>370.28571428571433</v>
      </c>
      <c r="R74">
        <f>VLOOKUP(CONCATENATE($G74,"-",$F74,"-",$N$2),'Look-ups'!$O$3:$S$34,5,FALSE)*VLOOKUP(CONCATENATE($F74,"-",$N$2,"-",R$3),'Look-ups'!$I$3:$M$24,5,FALSE)</f>
        <v>421.71428571428567</v>
      </c>
      <c r="S74" s="117">
        <f>VLOOKUP(CONCATENATE($G74,"-",$F74,"-Lone Person"),'Look-ups'!$Y$4:$AG$35,5,FALSE)</f>
        <v>96.46000000000001</v>
      </c>
      <c r="T74">
        <f>VLOOKUP(CONCATENATE($G74,"-",$F74,"-Lone Person"),'Look-ups'!$Y$4:$AG$35,6,FALSE)</f>
        <v>136.74</v>
      </c>
      <c r="U74">
        <f>VLOOKUP(CONCATENATE($G74,"-",$F74,"-Lone Person"),'Look-ups'!$Y$4:$AG$35,7,FALSE)</f>
        <v>164.3</v>
      </c>
      <c r="V74">
        <f>VLOOKUP(CONCATENATE($G74,"-",$F74,"-Lone Person"),'Look-ups'!$Y$4:$AG$35,8,FALSE)</f>
        <v>201.4</v>
      </c>
      <c r="W74">
        <f>VLOOKUP(CONCATENATE($G74,"-",$F74,"-Lone Person"),'Look-ups'!$Y$4:$AG$35,9,FALSE)</f>
        <v>190.8</v>
      </c>
      <c r="X74" s="117">
        <f>VLOOKUP(CONCATENATE($G74,"-",$F74,"-Couple Only"),'Look-ups'!$Y$4:$AG$35,5,FALSE)</f>
        <v>154.76000000000002</v>
      </c>
      <c r="Y74">
        <f>VLOOKUP(CONCATENATE($G74,"-",$F74,"-Couple Only"),'Look-ups'!$Y$4:$AG$35,6,FALSE)</f>
        <v>147.34</v>
      </c>
      <c r="Z74">
        <f>VLOOKUP(CONCATENATE($G74,"-",$F74,"-Couple Only"),'Look-ups'!$Y$4:$AG$35,7,FALSE)</f>
        <v>166.42000000000002</v>
      </c>
      <c r="AA74">
        <f>VLOOKUP(CONCATENATE($G74,"-",$F74,"-Couple Only"),'Look-ups'!$Y$4:$AG$35,8,FALSE)</f>
        <v>183.38</v>
      </c>
      <c r="AB74">
        <f>VLOOKUP(CONCATENATE($G74,"-",$F74,"-Couple Only"),'Look-ups'!$Y$4:$AG$35,9,FALSE)</f>
        <v>230.02</v>
      </c>
      <c r="AC74">
        <v>35</v>
      </c>
      <c r="AD74" t="s">
        <v>166</v>
      </c>
      <c r="AE74" s="260">
        <f>VLOOKUP($AD74,'Look-ups'!$A$122:$G$130,5,FALSE)</f>
        <v>0.06050955414012739</v>
      </c>
      <c r="AF74" s="260">
        <f>VLOOKUP($AD74,'Look-ups'!$A$122:$G$130,6,FALSE)</f>
        <v>0.14171974522292993</v>
      </c>
      <c r="AG74" s="260">
        <f>VLOOKUP($AD74,'Look-ups'!$A$122:$G$130,7,FALSE)</f>
        <v>0.7977707006369427</v>
      </c>
      <c r="AH74" s="264">
        <f>VLOOKUP($AC74,'Look-ups'!$A$50:$AO$118,'Look-ups'!$B$133*4,FALSE)*0.277778</f>
        <v>0.6684709045209036</v>
      </c>
      <c r="AI74" s="264">
        <f>VLOOKUP($AC74,'Look-ups'!$A$50:$AO$118,'Look-ups'!$B$133*4+1,FALSE)*0.277778</f>
        <v>43.4982310954791</v>
      </c>
      <c r="AJ74" s="264">
        <f>AE74*$AH74/'Look-ups'!$B$141</f>
        <v>0.05287434821987915</v>
      </c>
      <c r="AK74" s="264">
        <f>AF74*$AH74/'Look-ups'!$B$140</f>
        <v>0.12977469353101914</v>
      </c>
      <c r="AL74" s="264">
        <f>AG74*$AH74/'Look-ups'!$B$137</f>
        <v>0.1015783813057242</v>
      </c>
      <c r="AM74" s="264">
        <f>AI74/'Look-ups'!$B$136</f>
        <v>9.157522335890336</v>
      </c>
      <c r="AN74" s="263">
        <f>AJ74*VLOOKUP($AD74,'Look-ups'!$A$123:$M$130,10,FALSE)</f>
        <v>0.014349510614117201</v>
      </c>
      <c r="AO74" s="263">
        <f>AK74*VLOOKUP($AD74,'Look-ups'!$A$123:$M$130,9,FALSE)</f>
        <v>0.028123214285720097</v>
      </c>
      <c r="AP74" s="263">
        <f>(AL74+AM74)*VLOOKUP($AD74,'Look-ups'!$A$123:$M$130,8,FALSE)</f>
        <v>2.316750454118684</v>
      </c>
      <c r="AQ74" s="263">
        <f t="shared" si="2"/>
        <v>2.359223179018521</v>
      </c>
      <c r="AR74" s="265">
        <f>AJ74*VLOOKUP($AD74,'Look-ups'!$A$123:$M$130,11,FALSE)</f>
        <v>0.00022842358017012267</v>
      </c>
      <c r="AS74" s="265">
        <f>AK74*VLOOKUP($AD74,'Look-ups'!$A$123:$M$130,12,FALSE)</f>
        <v>0.024074917945254768</v>
      </c>
      <c r="AT74" s="265">
        <f>(AL74+AM74)*VLOOKUP($AD74,'Look-ups'!$A$123:$M$130,13,FALSE)</f>
        <v>2.3638484131001545</v>
      </c>
      <c r="AU74" s="265">
        <f t="shared" si="3"/>
        <v>2.3881517546255795</v>
      </c>
    </row>
    <row r="75" spans="1:47" ht="15">
      <c r="A75">
        <v>3012</v>
      </c>
      <c r="B75" t="s">
        <v>363</v>
      </c>
      <c r="C75">
        <v>170.624699999999</v>
      </c>
      <c r="D75">
        <v>27489</v>
      </c>
      <c r="E75">
        <v>161.1079755744635</v>
      </c>
      <c r="F75" t="s">
        <v>173</v>
      </c>
      <c r="G75" t="s">
        <v>166</v>
      </c>
      <c r="H75">
        <f>VLOOKUP(CONCATENATE($G75,"-",$F75,"-",$H$2),'Look-ups'!$O$3:$S$34,5,FALSE)*VLOOKUP(CONCATENATE($F75,"-",$H$2,"-",H$3),'Look-ups'!$I$3:$M$24,5,FALSE)</f>
        <v>199.33333333333331</v>
      </c>
      <c r="I75">
        <f>VLOOKUP(CONCATENATE($G75,"-",$F75,"-",$H$2),'Look-ups'!$O$3:$S$34,5,FALSE)*VLOOKUP(CONCATENATE($F75,"-",$H$2,"-",I$3),'Look-ups'!$I$3:$M$24,5,FALSE)</f>
        <v>299</v>
      </c>
      <c r="J75">
        <f>VLOOKUP(CONCATENATE($G75,"-",$F75,"-",$H$2),'Look-ups'!$O$3:$S$34,5,FALSE)*VLOOKUP(CONCATENATE($F75,"-",$H$2,"-",J$3),'Look-ups'!$I$3:$M$24,5,FALSE)</f>
        <v>348.83333333333337</v>
      </c>
      <c r="K75">
        <f>VLOOKUP(CONCATENATE($G75,"-",$F75,"-",$H$2),'Look-ups'!$O$3:$S$34,5,FALSE)*VLOOKUP(CONCATENATE($F75,"-",$H$2,"-",K$3),'Look-ups'!$I$3:$M$24,5,FALSE)</f>
        <v>448.5</v>
      </c>
      <c r="L75">
        <f>VLOOKUP(CONCATENATE($G75,"-",$F75,"-",$H$2),'Look-ups'!$O$3:$S$34,5,FALSE)*VLOOKUP(CONCATENATE($F75,"-",$H$2,"-",L$3),'Look-ups'!$I$3:$M$24,5,FALSE)</f>
        <v>498.33333333333337</v>
      </c>
      <c r="M75">
        <f>VLOOKUP(CONCATENATE($G75,"-",$F75,"-",$H$2),'Look-ups'!$O$3:$S$34,5,FALSE)*VLOOKUP(CONCATENATE($F75,"-",$H$2,"-",M$3),'Look-ups'!$I$3:$M$24,5,FALSE)</f>
        <v>548.1666666666666</v>
      </c>
      <c r="N75">
        <f>VLOOKUP(CONCATENATE($G75,"-",$F75,"-",$N$2),'Look-ups'!$O$3:$S$34,5,FALSE)*VLOOKUP(CONCATENATE($F75,"-",$N$2,"-",N$3),'Look-ups'!$I$3:$M$24,5,FALSE)</f>
        <v>216</v>
      </c>
      <c r="O75">
        <f>VLOOKUP(CONCATENATE($G75,"-",$F75,"-",$N$2),'Look-ups'!$O$3:$S$34,5,FALSE)*VLOOKUP(CONCATENATE($F75,"-",$N$2,"-",O$3),'Look-ups'!$I$3:$M$24,5,FALSE)</f>
        <v>216</v>
      </c>
      <c r="P75">
        <f>VLOOKUP(CONCATENATE($G75,"-",$F75,"-",$N$2),'Look-ups'!$O$3:$S$34,5,FALSE)*VLOOKUP(CONCATENATE($F75,"-",$N$2,"-",P$3),'Look-ups'!$I$3:$M$24,5,FALSE)</f>
        <v>288</v>
      </c>
      <c r="Q75">
        <f>VLOOKUP(CONCATENATE($G75,"-",$F75,"-",$N$2),'Look-ups'!$O$3:$S$34,5,FALSE)*VLOOKUP(CONCATENATE($F75,"-",$N$2,"-",Q$3),'Look-ups'!$I$3:$M$24,5,FALSE)</f>
        <v>370.28571428571433</v>
      </c>
      <c r="R75">
        <f>VLOOKUP(CONCATENATE($G75,"-",$F75,"-",$N$2),'Look-ups'!$O$3:$S$34,5,FALSE)*VLOOKUP(CONCATENATE($F75,"-",$N$2,"-",R$3),'Look-ups'!$I$3:$M$24,5,FALSE)</f>
        <v>421.71428571428567</v>
      </c>
      <c r="S75" s="117">
        <f>VLOOKUP(CONCATENATE($G75,"-",$F75,"-Lone Person"),'Look-ups'!$Y$4:$AG$35,5,FALSE)</f>
        <v>96.46000000000001</v>
      </c>
      <c r="T75">
        <f>VLOOKUP(CONCATENATE($G75,"-",$F75,"-Lone Person"),'Look-ups'!$Y$4:$AG$35,6,FALSE)</f>
        <v>136.74</v>
      </c>
      <c r="U75">
        <f>VLOOKUP(CONCATENATE($G75,"-",$F75,"-Lone Person"),'Look-ups'!$Y$4:$AG$35,7,FALSE)</f>
        <v>164.3</v>
      </c>
      <c r="V75">
        <f>VLOOKUP(CONCATENATE($G75,"-",$F75,"-Lone Person"),'Look-ups'!$Y$4:$AG$35,8,FALSE)</f>
        <v>201.4</v>
      </c>
      <c r="W75">
        <f>VLOOKUP(CONCATENATE($G75,"-",$F75,"-Lone Person"),'Look-ups'!$Y$4:$AG$35,9,FALSE)</f>
        <v>190.8</v>
      </c>
      <c r="X75" s="117">
        <f>VLOOKUP(CONCATENATE($G75,"-",$F75,"-Couple Only"),'Look-ups'!$Y$4:$AG$35,5,FALSE)</f>
        <v>154.76000000000002</v>
      </c>
      <c r="Y75">
        <f>VLOOKUP(CONCATENATE($G75,"-",$F75,"-Couple Only"),'Look-ups'!$Y$4:$AG$35,6,FALSE)</f>
        <v>147.34</v>
      </c>
      <c r="Z75">
        <f>VLOOKUP(CONCATENATE($G75,"-",$F75,"-Couple Only"),'Look-ups'!$Y$4:$AG$35,7,FALSE)</f>
        <v>166.42000000000002</v>
      </c>
      <c r="AA75">
        <f>VLOOKUP(CONCATENATE($G75,"-",$F75,"-Couple Only"),'Look-ups'!$Y$4:$AG$35,8,FALSE)</f>
        <v>183.38</v>
      </c>
      <c r="AB75">
        <f>VLOOKUP(CONCATENATE($G75,"-",$F75,"-Couple Only"),'Look-ups'!$Y$4:$AG$35,9,FALSE)</f>
        <v>230.02</v>
      </c>
      <c r="AC75">
        <v>36</v>
      </c>
      <c r="AD75" t="s">
        <v>166</v>
      </c>
      <c r="AE75" s="260">
        <f>VLOOKUP($AD75,'Look-ups'!$A$122:$G$130,5,FALSE)</f>
        <v>0.06050955414012739</v>
      </c>
      <c r="AF75" s="260">
        <f>VLOOKUP($AD75,'Look-ups'!$A$122:$G$130,6,FALSE)</f>
        <v>0.14171974522292993</v>
      </c>
      <c r="AG75" s="260">
        <f>VLOOKUP($AD75,'Look-ups'!$A$122:$G$130,7,FALSE)</f>
        <v>0.7977707006369427</v>
      </c>
      <c r="AH75" s="264">
        <f>VLOOKUP($AC75,'Look-ups'!$A$50:$AO$118,'Look-ups'!$B$133*4,FALSE)*0.277778</f>
        <v>0.5166081148685175</v>
      </c>
      <c r="AI75" s="264">
        <f>VLOOKUP($AC75,'Look-ups'!$A$50:$AO$118,'Look-ups'!$B$133*4+1,FALSE)*0.277778</f>
        <v>38.927867885131484</v>
      </c>
      <c r="AJ75" s="264">
        <f>AE75*$AH75/'Look-ups'!$B$141</f>
        <v>0.040862387837732966</v>
      </c>
      <c r="AK75" s="264">
        <f>AF75*$AH75/'Look-ups'!$B$140</f>
        <v>0.10029256221817044</v>
      </c>
      <c r="AL75" s="264">
        <f>AG75*$AH75/'Look-ups'!$B$137</f>
        <v>0.07850187004826427</v>
      </c>
      <c r="AM75" s="264">
        <f>AI75/'Look-ups'!$B$136</f>
        <v>8.195340607396101</v>
      </c>
      <c r="AN75" s="263">
        <f>AJ75*VLOOKUP($AD75,'Look-ups'!$A$123:$M$130,10,FALSE)</f>
        <v>0.011089598032629195</v>
      </c>
      <c r="AO75" s="263">
        <f>AK75*VLOOKUP($AD75,'Look-ups'!$A$123:$M$130,9,FALSE)</f>
        <v>0.02173420057317528</v>
      </c>
      <c r="AP75" s="263">
        <f>(AL75+AM75)*VLOOKUP($AD75,'Look-ups'!$A$123:$M$130,8,FALSE)</f>
        <v>2.0702257057562794</v>
      </c>
      <c r="AQ75" s="263">
        <f t="shared" si="2"/>
        <v>2.103049504362084</v>
      </c>
      <c r="AR75" s="265">
        <f>AJ75*VLOOKUP($AD75,'Look-ups'!$A$123:$M$130,11,FALSE)</f>
        <v>0.00017653045831183913</v>
      </c>
      <c r="AS75" s="265">
        <f>AK75*VLOOKUP($AD75,'Look-ups'!$A$123:$M$130,12,FALSE)</f>
        <v>0.018605593588588844</v>
      </c>
      <c r="AT75" s="265">
        <f>(AL75+AM75)*VLOOKUP($AD75,'Look-ups'!$A$123:$M$130,13,FALSE)</f>
        <v>2.1123119844915466</v>
      </c>
      <c r="AU75" s="265">
        <f t="shared" si="3"/>
        <v>2.131094108538447</v>
      </c>
    </row>
    <row r="76" spans="1:47" ht="15">
      <c r="A76">
        <v>3013</v>
      </c>
      <c r="B76" t="s">
        <v>364</v>
      </c>
      <c r="C76">
        <v>68.6963999999999</v>
      </c>
      <c r="D76">
        <v>18317</v>
      </c>
      <c r="E76">
        <v>266.636970787407</v>
      </c>
      <c r="F76" t="s">
        <v>173</v>
      </c>
      <c r="G76" t="s">
        <v>166</v>
      </c>
      <c r="H76">
        <f>VLOOKUP(CONCATENATE($G76,"-",$F76,"-",$H$2),'Look-ups'!$O$3:$S$34,5,FALSE)*VLOOKUP(CONCATENATE($F76,"-",$H$2,"-",H$3),'Look-ups'!$I$3:$M$24,5,FALSE)</f>
        <v>199.33333333333331</v>
      </c>
      <c r="I76">
        <f>VLOOKUP(CONCATENATE($G76,"-",$F76,"-",$H$2),'Look-ups'!$O$3:$S$34,5,FALSE)*VLOOKUP(CONCATENATE($F76,"-",$H$2,"-",I$3),'Look-ups'!$I$3:$M$24,5,FALSE)</f>
        <v>299</v>
      </c>
      <c r="J76">
        <f>VLOOKUP(CONCATENATE($G76,"-",$F76,"-",$H$2),'Look-ups'!$O$3:$S$34,5,FALSE)*VLOOKUP(CONCATENATE($F76,"-",$H$2,"-",J$3),'Look-ups'!$I$3:$M$24,5,FALSE)</f>
        <v>348.83333333333337</v>
      </c>
      <c r="K76">
        <f>VLOOKUP(CONCATENATE($G76,"-",$F76,"-",$H$2),'Look-ups'!$O$3:$S$34,5,FALSE)*VLOOKUP(CONCATENATE($F76,"-",$H$2,"-",K$3),'Look-ups'!$I$3:$M$24,5,FALSE)</f>
        <v>448.5</v>
      </c>
      <c r="L76">
        <f>VLOOKUP(CONCATENATE($G76,"-",$F76,"-",$H$2),'Look-ups'!$O$3:$S$34,5,FALSE)*VLOOKUP(CONCATENATE($F76,"-",$H$2,"-",L$3),'Look-ups'!$I$3:$M$24,5,FALSE)</f>
        <v>498.33333333333337</v>
      </c>
      <c r="M76">
        <f>VLOOKUP(CONCATENATE($G76,"-",$F76,"-",$H$2),'Look-ups'!$O$3:$S$34,5,FALSE)*VLOOKUP(CONCATENATE($F76,"-",$H$2,"-",M$3),'Look-ups'!$I$3:$M$24,5,FALSE)</f>
        <v>548.1666666666666</v>
      </c>
      <c r="N76">
        <f>VLOOKUP(CONCATENATE($G76,"-",$F76,"-",$N$2),'Look-ups'!$O$3:$S$34,5,FALSE)*VLOOKUP(CONCATENATE($F76,"-",$N$2,"-",N$3),'Look-ups'!$I$3:$M$24,5,FALSE)</f>
        <v>216</v>
      </c>
      <c r="O76">
        <f>VLOOKUP(CONCATENATE($G76,"-",$F76,"-",$N$2),'Look-ups'!$O$3:$S$34,5,FALSE)*VLOOKUP(CONCATENATE($F76,"-",$N$2,"-",O$3),'Look-ups'!$I$3:$M$24,5,FALSE)</f>
        <v>216</v>
      </c>
      <c r="P76">
        <f>VLOOKUP(CONCATENATE($G76,"-",$F76,"-",$N$2),'Look-ups'!$O$3:$S$34,5,FALSE)*VLOOKUP(CONCATENATE($F76,"-",$N$2,"-",P$3),'Look-ups'!$I$3:$M$24,5,FALSE)</f>
        <v>288</v>
      </c>
      <c r="Q76">
        <f>VLOOKUP(CONCATENATE($G76,"-",$F76,"-",$N$2),'Look-ups'!$O$3:$S$34,5,FALSE)*VLOOKUP(CONCATENATE($F76,"-",$N$2,"-",Q$3),'Look-ups'!$I$3:$M$24,5,FALSE)</f>
        <v>370.28571428571433</v>
      </c>
      <c r="R76">
        <f>VLOOKUP(CONCATENATE($G76,"-",$F76,"-",$N$2),'Look-ups'!$O$3:$S$34,5,FALSE)*VLOOKUP(CONCATENATE($F76,"-",$N$2,"-",R$3),'Look-ups'!$I$3:$M$24,5,FALSE)</f>
        <v>421.71428571428567</v>
      </c>
      <c r="S76" s="117">
        <f>VLOOKUP(CONCATENATE($G76,"-",$F76,"-Lone Person"),'Look-ups'!$Y$4:$AG$35,5,FALSE)</f>
        <v>96.46000000000001</v>
      </c>
      <c r="T76">
        <f>VLOOKUP(CONCATENATE($G76,"-",$F76,"-Lone Person"),'Look-ups'!$Y$4:$AG$35,6,FALSE)</f>
        <v>136.74</v>
      </c>
      <c r="U76">
        <f>VLOOKUP(CONCATENATE($G76,"-",$F76,"-Lone Person"),'Look-ups'!$Y$4:$AG$35,7,FALSE)</f>
        <v>164.3</v>
      </c>
      <c r="V76">
        <f>VLOOKUP(CONCATENATE($G76,"-",$F76,"-Lone Person"),'Look-ups'!$Y$4:$AG$35,8,FALSE)</f>
        <v>201.4</v>
      </c>
      <c r="W76">
        <f>VLOOKUP(CONCATENATE($G76,"-",$F76,"-Lone Person"),'Look-ups'!$Y$4:$AG$35,9,FALSE)</f>
        <v>190.8</v>
      </c>
      <c r="X76" s="117">
        <f>VLOOKUP(CONCATENATE($G76,"-",$F76,"-Couple Only"),'Look-ups'!$Y$4:$AG$35,5,FALSE)</f>
        <v>154.76000000000002</v>
      </c>
      <c r="Y76">
        <f>VLOOKUP(CONCATENATE($G76,"-",$F76,"-Couple Only"),'Look-ups'!$Y$4:$AG$35,6,FALSE)</f>
        <v>147.34</v>
      </c>
      <c r="Z76">
        <f>VLOOKUP(CONCATENATE($G76,"-",$F76,"-Couple Only"),'Look-ups'!$Y$4:$AG$35,7,FALSE)</f>
        <v>166.42000000000002</v>
      </c>
      <c r="AA76">
        <f>VLOOKUP(CONCATENATE($G76,"-",$F76,"-Couple Only"),'Look-ups'!$Y$4:$AG$35,8,FALSE)</f>
        <v>183.38</v>
      </c>
      <c r="AB76">
        <f>VLOOKUP(CONCATENATE($G76,"-",$F76,"-Couple Only"),'Look-ups'!$Y$4:$AG$35,9,FALSE)</f>
        <v>230.02</v>
      </c>
      <c r="AC76">
        <v>39</v>
      </c>
      <c r="AD76" t="s">
        <v>166</v>
      </c>
      <c r="AE76" s="260">
        <f>VLOOKUP($AD76,'Look-ups'!$A$122:$G$130,5,FALSE)</f>
        <v>0.06050955414012739</v>
      </c>
      <c r="AF76" s="260">
        <f>VLOOKUP($AD76,'Look-ups'!$A$122:$G$130,6,FALSE)</f>
        <v>0.14171974522292993</v>
      </c>
      <c r="AG76" s="260">
        <f>VLOOKUP($AD76,'Look-ups'!$A$122:$G$130,7,FALSE)</f>
        <v>0.7977707006369427</v>
      </c>
      <c r="AH76" s="264">
        <f>VLOOKUP($AC76,'Look-ups'!$A$50:$AO$118,'Look-ups'!$B$133*4,FALSE)*0.277778</f>
        <v>0.9749614978931481</v>
      </c>
      <c r="AI76" s="264">
        <f>VLOOKUP($AC76,'Look-ups'!$A$50:$AO$118,'Look-ups'!$B$133*4+1,FALSE)*0.277778</f>
        <v>81.80288250210687</v>
      </c>
      <c r="AJ76" s="264">
        <f>AE76*$AH76/'Look-ups'!$B$141</f>
        <v>0.07711697456379758</v>
      </c>
      <c r="AK76" s="264">
        <f>AF76*$AH76/'Look-ups'!$B$140</f>
        <v>0.18927574668983985</v>
      </c>
      <c r="AL76" s="264">
        <f>AG76*$AH76/'Look-ups'!$B$137</f>
        <v>0.14815156519395428</v>
      </c>
      <c r="AM76" s="264">
        <f>AI76/'Look-ups'!$B$136</f>
        <v>17.22165947412776</v>
      </c>
      <c r="AN76" s="263">
        <f>AJ76*VLOOKUP($AD76,'Look-ups'!$A$123:$M$130,10,FALSE)</f>
        <v>0.02092869004134173</v>
      </c>
      <c r="AO76" s="263">
        <f>AK76*VLOOKUP($AD76,'Look-ups'!$A$123:$M$130,9,FALSE)</f>
        <v>0.04101756851366182</v>
      </c>
      <c r="AP76" s="263">
        <f>(AL76+AM76)*VLOOKUP($AD76,'Look-ups'!$A$123:$M$130,8,FALSE)</f>
        <v>4.3461583195188185</v>
      </c>
      <c r="AQ76" s="263">
        <f t="shared" si="2"/>
        <v>4.408104578073822</v>
      </c>
      <c r="AR76" s="265">
        <f>AJ76*VLOOKUP($AD76,'Look-ups'!$A$123:$M$130,11,FALSE)</f>
        <v>0.00033315465844604205</v>
      </c>
      <c r="AS76" s="265">
        <f>AK76*VLOOKUP($AD76,'Look-ups'!$A$123:$M$130,12,FALSE)</f>
        <v>0.03511314838509359</v>
      </c>
      <c r="AT76" s="265">
        <f>(AL76+AM76)*VLOOKUP($AD76,'Look-ups'!$A$123:$M$130,13,FALSE)</f>
        <v>4.434512758338835</v>
      </c>
      <c r="AU76" s="265">
        <f t="shared" si="3"/>
        <v>4.469959061382375</v>
      </c>
    </row>
    <row r="77" spans="1:47" ht="15">
      <c r="A77">
        <v>3014</v>
      </c>
      <c r="B77" t="s">
        <v>365</v>
      </c>
      <c r="C77">
        <v>579.6439</v>
      </c>
      <c r="D77">
        <v>79293</v>
      </c>
      <c r="E77">
        <v>136.79605702742666</v>
      </c>
      <c r="F77" t="s">
        <v>173</v>
      </c>
      <c r="G77" t="s">
        <v>166</v>
      </c>
      <c r="H77">
        <f>VLOOKUP(CONCATENATE($G77,"-",$F77,"-",$H$2),'Look-ups'!$O$3:$S$34,5,FALSE)*VLOOKUP(CONCATENATE($F77,"-",$H$2,"-",H$3),'Look-ups'!$I$3:$M$24,5,FALSE)</f>
        <v>199.33333333333331</v>
      </c>
      <c r="I77">
        <f>VLOOKUP(CONCATENATE($G77,"-",$F77,"-",$H$2),'Look-ups'!$O$3:$S$34,5,FALSE)*VLOOKUP(CONCATENATE($F77,"-",$H$2,"-",I$3),'Look-ups'!$I$3:$M$24,5,FALSE)</f>
        <v>299</v>
      </c>
      <c r="J77">
        <f>VLOOKUP(CONCATENATE($G77,"-",$F77,"-",$H$2),'Look-ups'!$O$3:$S$34,5,FALSE)*VLOOKUP(CONCATENATE($F77,"-",$H$2,"-",J$3),'Look-ups'!$I$3:$M$24,5,FALSE)</f>
        <v>348.83333333333337</v>
      </c>
      <c r="K77">
        <f>VLOOKUP(CONCATENATE($G77,"-",$F77,"-",$H$2),'Look-ups'!$O$3:$S$34,5,FALSE)*VLOOKUP(CONCATENATE($F77,"-",$H$2,"-",K$3),'Look-ups'!$I$3:$M$24,5,FALSE)</f>
        <v>448.5</v>
      </c>
      <c r="L77">
        <f>VLOOKUP(CONCATENATE($G77,"-",$F77,"-",$H$2),'Look-ups'!$O$3:$S$34,5,FALSE)*VLOOKUP(CONCATENATE($F77,"-",$H$2,"-",L$3),'Look-ups'!$I$3:$M$24,5,FALSE)</f>
        <v>498.33333333333337</v>
      </c>
      <c r="M77">
        <f>VLOOKUP(CONCATENATE($G77,"-",$F77,"-",$H$2),'Look-ups'!$O$3:$S$34,5,FALSE)*VLOOKUP(CONCATENATE($F77,"-",$H$2,"-",M$3),'Look-ups'!$I$3:$M$24,5,FALSE)</f>
        <v>548.1666666666666</v>
      </c>
      <c r="N77">
        <f>VLOOKUP(CONCATENATE($G77,"-",$F77,"-",$N$2),'Look-ups'!$O$3:$S$34,5,FALSE)*VLOOKUP(CONCATENATE($F77,"-",$N$2,"-",N$3),'Look-ups'!$I$3:$M$24,5,FALSE)</f>
        <v>216</v>
      </c>
      <c r="O77">
        <f>VLOOKUP(CONCATENATE($G77,"-",$F77,"-",$N$2),'Look-ups'!$O$3:$S$34,5,FALSE)*VLOOKUP(CONCATENATE($F77,"-",$N$2,"-",O$3),'Look-ups'!$I$3:$M$24,5,FALSE)</f>
        <v>216</v>
      </c>
      <c r="P77">
        <f>VLOOKUP(CONCATENATE($G77,"-",$F77,"-",$N$2),'Look-ups'!$O$3:$S$34,5,FALSE)*VLOOKUP(CONCATENATE($F77,"-",$N$2,"-",P$3),'Look-ups'!$I$3:$M$24,5,FALSE)</f>
        <v>288</v>
      </c>
      <c r="Q77">
        <f>VLOOKUP(CONCATENATE($G77,"-",$F77,"-",$N$2),'Look-ups'!$O$3:$S$34,5,FALSE)*VLOOKUP(CONCATENATE($F77,"-",$N$2,"-",Q$3),'Look-ups'!$I$3:$M$24,5,FALSE)</f>
        <v>370.28571428571433</v>
      </c>
      <c r="R77">
        <f>VLOOKUP(CONCATENATE($G77,"-",$F77,"-",$N$2),'Look-ups'!$O$3:$S$34,5,FALSE)*VLOOKUP(CONCATENATE($F77,"-",$N$2,"-",R$3),'Look-ups'!$I$3:$M$24,5,FALSE)</f>
        <v>421.71428571428567</v>
      </c>
      <c r="S77" s="117">
        <f>VLOOKUP(CONCATENATE($G77,"-",$F77,"-Lone Person"),'Look-ups'!$Y$4:$AG$35,5,FALSE)</f>
        <v>96.46000000000001</v>
      </c>
      <c r="T77">
        <f>VLOOKUP(CONCATENATE($G77,"-",$F77,"-Lone Person"),'Look-ups'!$Y$4:$AG$35,6,FALSE)</f>
        <v>136.74</v>
      </c>
      <c r="U77">
        <f>VLOOKUP(CONCATENATE($G77,"-",$F77,"-Lone Person"),'Look-ups'!$Y$4:$AG$35,7,FALSE)</f>
        <v>164.3</v>
      </c>
      <c r="V77">
        <f>VLOOKUP(CONCATENATE($G77,"-",$F77,"-Lone Person"),'Look-ups'!$Y$4:$AG$35,8,FALSE)</f>
        <v>201.4</v>
      </c>
      <c r="W77">
        <f>VLOOKUP(CONCATENATE($G77,"-",$F77,"-Lone Person"),'Look-ups'!$Y$4:$AG$35,9,FALSE)</f>
        <v>190.8</v>
      </c>
      <c r="X77" s="117">
        <f>VLOOKUP(CONCATENATE($G77,"-",$F77,"-Couple Only"),'Look-ups'!$Y$4:$AG$35,5,FALSE)</f>
        <v>154.76000000000002</v>
      </c>
      <c r="Y77">
        <f>VLOOKUP(CONCATENATE($G77,"-",$F77,"-Couple Only"),'Look-ups'!$Y$4:$AG$35,6,FALSE)</f>
        <v>147.34</v>
      </c>
      <c r="Z77">
        <f>VLOOKUP(CONCATENATE($G77,"-",$F77,"-Couple Only"),'Look-ups'!$Y$4:$AG$35,7,FALSE)</f>
        <v>166.42000000000002</v>
      </c>
      <c r="AA77">
        <f>VLOOKUP(CONCATENATE($G77,"-",$F77,"-Couple Only"),'Look-ups'!$Y$4:$AG$35,8,FALSE)</f>
        <v>183.38</v>
      </c>
      <c r="AB77">
        <f>VLOOKUP(CONCATENATE($G77,"-",$F77,"-Couple Only"),'Look-ups'!$Y$4:$AG$35,9,FALSE)</f>
        <v>230.02</v>
      </c>
      <c r="AC77">
        <v>7</v>
      </c>
      <c r="AD77" t="s">
        <v>166</v>
      </c>
      <c r="AE77" s="260">
        <f>VLOOKUP($AD77,'Look-ups'!$A$122:$G$130,5,FALSE)</f>
        <v>0.06050955414012739</v>
      </c>
      <c r="AF77" s="260">
        <f>VLOOKUP($AD77,'Look-ups'!$A$122:$G$130,6,FALSE)</f>
        <v>0.14171974522292993</v>
      </c>
      <c r="AG77" s="260">
        <f>VLOOKUP($AD77,'Look-ups'!$A$122:$G$130,7,FALSE)</f>
        <v>0.7977707006369427</v>
      </c>
      <c r="AH77" s="264">
        <f>VLOOKUP($AC77,'Look-ups'!$A$50:$AO$118,'Look-ups'!$B$133*4,FALSE)*0.277778</f>
        <v>2.578532460978112</v>
      </c>
      <c r="AI77" s="264">
        <f>VLOOKUP($AC77,'Look-ups'!$A$50:$AO$118,'Look-ups'!$B$133*4+1,FALSE)*0.277778</f>
        <v>54.088179539021894</v>
      </c>
      <c r="AJ77" s="264">
        <f>AE77*$AH77/'Look-ups'!$B$141</f>
        <v>0.20395535888840657</v>
      </c>
      <c r="AK77" s="264">
        <f>AF77*$AH77/'Look-ups'!$B$140</f>
        <v>0.5005876211217433</v>
      </c>
      <c r="AL77" s="264">
        <f>AG77*$AH77/'Look-ups'!$B$137</f>
        <v>0.3918243139065921</v>
      </c>
      <c r="AM77" s="264">
        <f>AI77/'Look-ups'!$B$136</f>
        <v>11.386985166109872</v>
      </c>
      <c r="AN77" s="263">
        <f>AJ77*VLOOKUP($AD77,'Look-ups'!$A$123:$M$130,10,FALSE)</f>
        <v>0.05535121823165922</v>
      </c>
      <c r="AO77" s="263">
        <f>AK77*VLOOKUP($AD77,'Look-ups'!$A$123:$M$130,9,FALSE)</f>
        <v>0.10848134219805075</v>
      </c>
      <c r="AP77" s="263">
        <f>(AL77+AM77)*VLOOKUP($AD77,'Look-ups'!$A$123:$M$130,8,FALSE)</f>
        <v>2.9472151826931863</v>
      </c>
      <c r="AQ77" s="263">
        <f t="shared" si="2"/>
        <v>3.1110477431228962</v>
      </c>
      <c r="AR77" s="265">
        <f>AJ77*VLOOKUP($AD77,'Look-ups'!$A$123:$M$130,11,FALSE)</f>
        <v>0.0008811118215289192</v>
      </c>
      <c r="AS77" s="265">
        <f>AK77*VLOOKUP($AD77,'Look-ups'!$A$123:$M$130,12,FALSE)</f>
        <v>0.09286560865609472</v>
      </c>
      <c r="AT77" s="265">
        <f>(AL77+AM77)*VLOOKUP($AD77,'Look-ups'!$A$123:$M$130,13,FALSE)</f>
        <v>3.007130060248204</v>
      </c>
      <c r="AU77" s="265">
        <f t="shared" si="3"/>
        <v>3.1008767807258275</v>
      </c>
    </row>
    <row r="78" spans="1:47" ht="15">
      <c r="A78">
        <v>3015</v>
      </c>
      <c r="B78" t="s">
        <v>366</v>
      </c>
      <c r="C78">
        <v>2100.2723</v>
      </c>
      <c r="D78">
        <v>382903</v>
      </c>
      <c r="E78">
        <v>182.31112222924617</v>
      </c>
      <c r="F78" t="s">
        <v>173</v>
      </c>
      <c r="G78" t="s">
        <v>166</v>
      </c>
      <c r="H78">
        <f>VLOOKUP(CONCATENATE($G78,"-",$F78,"-",$H$2),'Look-ups'!$O$3:$S$34,5,FALSE)*VLOOKUP(CONCATENATE($F78,"-",$H$2,"-",H$3),'Look-ups'!$I$3:$M$24,5,FALSE)</f>
        <v>199.33333333333331</v>
      </c>
      <c r="I78">
        <f>VLOOKUP(CONCATENATE($G78,"-",$F78,"-",$H$2),'Look-ups'!$O$3:$S$34,5,FALSE)*VLOOKUP(CONCATENATE($F78,"-",$H$2,"-",I$3),'Look-ups'!$I$3:$M$24,5,FALSE)</f>
        <v>299</v>
      </c>
      <c r="J78">
        <f>VLOOKUP(CONCATENATE($G78,"-",$F78,"-",$H$2),'Look-ups'!$O$3:$S$34,5,FALSE)*VLOOKUP(CONCATENATE($F78,"-",$H$2,"-",J$3),'Look-ups'!$I$3:$M$24,5,FALSE)</f>
        <v>348.83333333333337</v>
      </c>
      <c r="K78">
        <f>VLOOKUP(CONCATENATE($G78,"-",$F78,"-",$H$2),'Look-ups'!$O$3:$S$34,5,FALSE)*VLOOKUP(CONCATENATE($F78,"-",$H$2,"-",K$3),'Look-ups'!$I$3:$M$24,5,FALSE)</f>
        <v>448.5</v>
      </c>
      <c r="L78">
        <f>VLOOKUP(CONCATENATE($G78,"-",$F78,"-",$H$2),'Look-ups'!$O$3:$S$34,5,FALSE)*VLOOKUP(CONCATENATE($F78,"-",$H$2,"-",L$3),'Look-ups'!$I$3:$M$24,5,FALSE)</f>
        <v>498.33333333333337</v>
      </c>
      <c r="M78">
        <f>VLOOKUP(CONCATENATE($G78,"-",$F78,"-",$H$2),'Look-ups'!$O$3:$S$34,5,FALSE)*VLOOKUP(CONCATENATE($F78,"-",$H$2,"-",M$3),'Look-ups'!$I$3:$M$24,5,FALSE)</f>
        <v>548.1666666666666</v>
      </c>
      <c r="N78">
        <f>VLOOKUP(CONCATENATE($G78,"-",$F78,"-",$N$2),'Look-ups'!$O$3:$S$34,5,FALSE)*VLOOKUP(CONCATENATE($F78,"-",$N$2,"-",N$3),'Look-ups'!$I$3:$M$24,5,FALSE)</f>
        <v>216</v>
      </c>
      <c r="O78">
        <f>VLOOKUP(CONCATENATE($G78,"-",$F78,"-",$N$2),'Look-ups'!$O$3:$S$34,5,FALSE)*VLOOKUP(CONCATENATE($F78,"-",$N$2,"-",O$3),'Look-ups'!$I$3:$M$24,5,FALSE)</f>
        <v>216</v>
      </c>
      <c r="P78">
        <f>VLOOKUP(CONCATENATE($G78,"-",$F78,"-",$N$2),'Look-ups'!$O$3:$S$34,5,FALSE)*VLOOKUP(CONCATENATE($F78,"-",$N$2,"-",P$3),'Look-ups'!$I$3:$M$24,5,FALSE)</f>
        <v>288</v>
      </c>
      <c r="Q78">
        <f>VLOOKUP(CONCATENATE($G78,"-",$F78,"-",$N$2),'Look-ups'!$O$3:$S$34,5,FALSE)*VLOOKUP(CONCATENATE($F78,"-",$N$2,"-",Q$3),'Look-ups'!$I$3:$M$24,5,FALSE)</f>
        <v>370.28571428571433</v>
      </c>
      <c r="R78">
        <f>VLOOKUP(CONCATENATE($G78,"-",$F78,"-",$N$2),'Look-ups'!$O$3:$S$34,5,FALSE)*VLOOKUP(CONCATENATE($F78,"-",$N$2,"-",R$3),'Look-ups'!$I$3:$M$24,5,FALSE)</f>
        <v>421.71428571428567</v>
      </c>
      <c r="S78" s="117">
        <f>VLOOKUP(CONCATENATE($G78,"-",$F78,"-Lone Person"),'Look-ups'!$Y$4:$AG$35,5,FALSE)</f>
        <v>96.46000000000001</v>
      </c>
      <c r="T78">
        <f>VLOOKUP(CONCATENATE($G78,"-",$F78,"-Lone Person"),'Look-ups'!$Y$4:$AG$35,6,FALSE)</f>
        <v>136.74</v>
      </c>
      <c r="U78">
        <f>VLOOKUP(CONCATENATE($G78,"-",$F78,"-Lone Person"),'Look-ups'!$Y$4:$AG$35,7,FALSE)</f>
        <v>164.3</v>
      </c>
      <c r="V78">
        <f>VLOOKUP(CONCATENATE($G78,"-",$F78,"-Lone Person"),'Look-ups'!$Y$4:$AG$35,8,FALSE)</f>
        <v>201.4</v>
      </c>
      <c r="W78">
        <f>VLOOKUP(CONCATENATE($G78,"-",$F78,"-Lone Person"),'Look-ups'!$Y$4:$AG$35,9,FALSE)</f>
        <v>190.8</v>
      </c>
      <c r="X78" s="117">
        <f>VLOOKUP(CONCATENATE($G78,"-",$F78,"-Couple Only"),'Look-ups'!$Y$4:$AG$35,5,FALSE)</f>
        <v>154.76000000000002</v>
      </c>
      <c r="Y78">
        <f>VLOOKUP(CONCATENATE($G78,"-",$F78,"-Couple Only"),'Look-ups'!$Y$4:$AG$35,6,FALSE)</f>
        <v>147.34</v>
      </c>
      <c r="Z78">
        <f>VLOOKUP(CONCATENATE($G78,"-",$F78,"-Couple Only"),'Look-ups'!$Y$4:$AG$35,7,FALSE)</f>
        <v>166.42000000000002</v>
      </c>
      <c r="AA78">
        <f>VLOOKUP(CONCATENATE($G78,"-",$F78,"-Couple Only"),'Look-ups'!$Y$4:$AG$35,8,FALSE)</f>
        <v>183.38</v>
      </c>
      <c r="AB78">
        <f>VLOOKUP(CONCATENATE($G78,"-",$F78,"-Couple Only"),'Look-ups'!$Y$4:$AG$35,9,FALSE)</f>
        <v>230.02</v>
      </c>
      <c r="AC78">
        <v>10</v>
      </c>
      <c r="AD78" t="s">
        <v>166</v>
      </c>
      <c r="AE78" s="260">
        <f>VLOOKUP($AD78,'Look-ups'!$A$122:$G$130,5,FALSE)</f>
        <v>0.06050955414012739</v>
      </c>
      <c r="AF78" s="260">
        <f>VLOOKUP($AD78,'Look-ups'!$A$122:$G$130,6,FALSE)</f>
        <v>0.14171974522292993</v>
      </c>
      <c r="AG78" s="260">
        <f>VLOOKUP($AD78,'Look-ups'!$A$122:$G$130,7,FALSE)</f>
        <v>0.7977707006369427</v>
      </c>
      <c r="AH78" s="264">
        <f>VLOOKUP($AC78,'Look-ups'!$A$50:$AO$118,'Look-ups'!$B$133*4,FALSE)*0.277778</f>
        <v>5.039376206978595</v>
      </c>
      <c r="AI78" s="264">
        <f>VLOOKUP($AC78,'Look-ups'!$A$50:$AO$118,'Look-ups'!$B$133*4+1,FALSE)*0.277778</f>
        <v>28.57176179302141</v>
      </c>
      <c r="AJ78" s="264">
        <f>AE78*$AH78/'Look-ups'!$B$141</f>
        <v>0.39860183977600144</v>
      </c>
      <c r="AK78" s="264">
        <f>AF78*$AH78/'Look-ups'!$B$140</f>
        <v>0.9783275508705499</v>
      </c>
      <c r="AL78" s="264">
        <f>AG78*$AH78/'Look-ups'!$B$137</f>
        <v>0.7657650833170384</v>
      </c>
      <c r="AM78" s="264">
        <f>AI78/'Look-ups'!$B$136</f>
        <v>6.015107745899244</v>
      </c>
      <c r="AN78" s="263">
        <f>AJ78*VLOOKUP($AD78,'Look-ups'!$A$123:$M$130,10,FALSE)</f>
        <v>0.10817611040587594</v>
      </c>
      <c r="AO78" s="263">
        <f>AK78*VLOOKUP($AD78,'Look-ups'!$A$123:$M$130,9,FALSE)</f>
        <v>0.21201140689405515</v>
      </c>
      <c r="AP78" s="263">
        <f>(AL78+AM78)*VLOOKUP($AD78,'Look-ups'!$A$123:$M$130,8,FALSE)</f>
        <v>1.6966647935076369</v>
      </c>
      <c r="AQ78" s="263">
        <f t="shared" si="2"/>
        <v>2.016852310807568</v>
      </c>
      <c r="AR78" s="265">
        <f>AJ78*VLOOKUP($AD78,'Look-ups'!$A$123:$M$130,11,FALSE)</f>
        <v>0.00172200816406092</v>
      </c>
      <c r="AS78" s="265">
        <f>AK78*VLOOKUP($AD78,'Look-ups'!$A$123:$M$130,12,FALSE)</f>
        <v>0.18149266910162884</v>
      </c>
      <c r="AT78" s="265">
        <f>(AL78+AM78)*VLOOKUP($AD78,'Look-ups'!$A$123:$M$130,13,FALSE)</f>
        <v>1.7311568332989171</v>
      </c>
      <c r="AU78" s="265">
        <f t="shared" si="3"/>
        <v>1.9143715105646069</v>
      </c>
    </row>
    <row r="79" spans="1:47" ht="15">
      <c r="A79">
        <v>3016</v>
      </c>
      <c r="B79" t="s">
        <v>367</v>
      </c>
      <c r="C79">
        <v>728.5991</v>
      </c>
      <c r="D79">
        <v>142163</v>
      </c>
      <c r="E79">
        <v>195.11827560588532</v>
      </c>
      <c r="F79" t="s">
        <v>173</v>
      </c>
      <c r="G79" t="s">
        <v>166</v>
      </c>
      <c r="H79">
        <f>VLOOKUP(CONCATENATE($G79,"-",$F79,"-",$H$2),'Look-ups'!$O$3:$S$34,5,FALSE)*VLOOKUP(CONCATENATE($F79,"-",$H$2,"-",H$3),'Look-ups'!$I$3:$M$24,5,FALSE)</f>
        <v>199.33333333333331</v>
      </c>
      <c r="I79">
        <f>VLOOKUP(CONCATENATE($G79,"-",$F79,"-",$H$2),'Look-ups'!$O$3:$S$34,5,FALSE)*VLOOKUP(CONCATENATE($F79,"-",$H$2,"-",I$3),'Look-ups'!$I$3:$M$24,5,FALSE)</f>
        <v>299</v>
      </c>
      <c r="J79">
        <f>VLOOKUP(CONCATENATE($G79,"-",$F79,"-",$H$2),'Look-ups'!$O$3:$S$34,5,FALSE)*VLOOKUP(CONCATENATE($F79,"-",$H$2,"-",J$3),'Look-ups'!$I$3:$M$24,5,FALSE)</f>
        <v>348.83333333333337</v>
      </c>
      <c r="K79">
        <f>VLOOKUP(CONCATENATE($G79,"-",$F79,"-",$H$2),'Look-ups'!$O$3:$S$34,5,FALSE)*VLOOKUP(CONCATENATE($F79,"-",$H$2,"-",K$3),'Look-ups'!$I$3:$M$24,5,FALSE)</f>
        <v>448.5</v>
      </c>
      <c r="L79">
        <f>VLOOKUP(CONCATENATE($G79,"-",$F79,"-",$H$2),'Look-ups'!$O$3:$S$34,5,FALSE)*VLOOKUP(CONCATENATE($F79,"-",$H$2,"-",L$3),'Look-ups'!$I$3:$M$24,5,FALSE)</f>
        <v>498.33333333333337</v>
      </c>
      <c r="M79">
        <f>VLOOKUP(CONCATENATE($G79,"-",$F79,"-",$H$2),'Look-ups'!$O$3:$S$34,5,FALSE)*VLOOKUP(CONCATENATE($F79,"-",$H$2,"-",M$3),'Look-ups'!$I$3:$M$24,5,FALSE)</f>
        <v>548.1666666666666</v>
      </c>
      <c r="N79">
        <f>VLOOKUP(CONCATENATE($G79,"-",$F79,"-",$N$2),'Look-ups'!$O$3:$S$34,5,FALSE)*VLOOKUP(CONCATENATE($F79,"-",$N$2,"-",N$3),'Look-ups'!$I$3:$M$24,5,FALSE)</f>
        <v>216</v>
      </c>
      <c r="O79">
        <f>VLOOKUP(CONCATENATE($G79,"-",$F79,"-",$N$2),'Look-ups'!$O$3:$S$34,5,FALSE)*VLOOKUP(CONCATENATE($F79,"-",$N$2,"-",O$3),'Look-ups'!$I$3:$M$24,5,FALSE)</f>
        <v>216</v>
      </c>
      <c r="P79">
        <f>VLOOKUP(CONCATENATE($G79,"-",$F79,"-",$N$2),'Look-ups'!$O$3:$S$34,5,FALSE)*VLOOKUP(CONCATENATE($F79,"-",$N$2,"-",P$3),'Look-ups'!$I$3:$M$24,5,FALSE)</f>
        <v>288</v>
      </c>
      <c r="Q79">
        <f>VLOOKUP(CONCATENATE($G79,"-",$F79,"-",$N$2),'Look-ups'!$O$3:$S$34,5,FALSE)*VLOOKUP(CONCATENATE($F79,"-",$N$2,"-",Q$3),'Look-ups'!$I$3:$M$24,5,FALSE)</f>
        <v>370.28571428571433</v>
      </c>
      <c r="R79">
        <f>VLOOKUP(CONCATENATE($G79,"-",$F79,"-",$N$2),'Look-ups'!$O$3:$S$34,5,FALSE)*VLOOKUP(CONCATENATE($F79,"-",$N$2,"-",R$3),'Look-ups'!$I$3:$M$24,5,FALSE)</f>
        <v>421.71428571428567</v>
      </c>
      <c r="S79" s="117">
        <f>VLOOKUP(CONCATENATE($G79,"-",$F79,"-Lone Person"),'Look-ups'!$Y$4:$AG$35,5,FALSE)</f>
        <v>96.46000000000001</v>
      </c>
      <c r="T79">
        <f>VLOOKUP(CONCATENATE($G79,"-",$F79,"-Lone Person"),'Look-ups'!$Y$4:$AG$35,6,FALSE)</f>
        <v>136.74</v>
      </c>
      <c r="U79">
        <f>VLOOKUP(CONCATENATE($G79,"-",$F79,"-Lone Person"),'Look-ups'!$Y$4:$AG$35,7,FALSE)</f>
        <v>164.3</v>
      </c>
      <c r="V79">
        <f>VLOOKUP(CONCATENATE($G79,"-",$F79,"-Lone Person"),'Look-ups'!$Y$4:$AG$35,8,FALSE)</f>
        <v>201.4</v>
      </c>
      <c r="W79">
        <f>VLOOKUP(CONCATENATE($G79,"-",$F79,"-Lone Person"),'Look-ups'!$Y$4:$AG$35,9,FALSE)</f>
        <v>190.8</v>
      </c>
      <c r="X79" s="117">
        <f>VLOOKUP(CONCATENATE($G79,"-",$F79,"-Couple Only"),'Look-ups'!$Y$4:$AG$35,5,FALSE)</f>
        <v>154.76000000000002</v>
      </c>
      <c r="Y79">
        <f>VLOOKUP(CONCATENATE($G79,"-",$F79,"-Couple Only"),'Look-ups'!$Y$4:$AG$35,6,FALSE)</f>
        <v>147.34</v>
      </c>
      <c r="Z79">
        <f>VLOOKUP(CONCATENATE($G79,"-",$F79,"-Couple Only"),'Look-ups'!$Y$4:$AG$35,7,FALSE)</f>
        <v>166.42000000000002</v>
      </c>
      <c r="AA79">
        <f>VLOOKUP(CONCATENATE($G79,"-",$F79,"-Couple Only"),'Look-ups'!$Y$4:$AG$35,8,FALSE)</f>
        <v>183.38</v>
      </c>
      <c r="AB79">
        <f>VLOOKUP(CONCATENATE($G79,"-",$F79,"-Couple Only"),'Look-ups'!$Y$4:$AG$35,9,FALSE)</f>
        <v>230.02</v>
      </c>
      <c r="AC79">
        <v>50</v>
      </c>
      <c r="AD79" t="s">
        <v>166</v>
      </c>
      <c r="AE79" s="260">
        <f>VLOOKUP($AD79,'Look-ups'!$A$122:$G$130,5,FALSE)</f>
        <v>0.06050955414012739</v>
      </c>
      <c r="AF79" s="260">
        <f>VLOOKUP($AD79,'Look-ups'!$A$122:$G$130,6,FALSE)</f>
        <v>0.14171974522292993</v>
      </c>
      <c r="AG79" s="260">
        <f>VLOOKUP($AD79,'Look-ups'!$A$122:$G$130,7,FALSE)</f>
        <v>0.7977707006369427</v>
      </c>
      <c r="AH79" s="264">
        <f>VLOOKUP($AC79,'Look-ups'!$A$50:$AO$118,'Look-ups'!$B$133*4,FALSE)*0.277778</f>
        <v>28.61372252127518</v>
      </c>
      <c r="AI79" s="264">
        <f>VLOOKUP($AC79,'Look-ups'!$A$50:$AO$118,'Look-ups'!$B$133*4+1,FALSE)*0.277778</f>
        <v>26.386321478724824</v>
      </c>
      <c r="AJ79" s="264">
        <f>AE79*$AH79/'Look-ups'!$B$141</f>
        <v>2.263272669348605</v>
      </c>
      <c r="AK79" s="264">
        <f>AF79*$AH79/'Look-ups'!$B$140</f>
        <v>5.554971870677713</v>
      </c>
      <c r="AL79" s="264">
        <f>AG79*$AH79/'Look-ups'!$B$137</f>
        <v>4.348036088310241</v>
      </c>
      <c r="AM79" s="264">
        <f>AI79/'Look-ups'!$B$136</f>
        <v>5.555015048152595</v>
      </c>
      <c r="AN79" s="263">
        <f>AJ79*VLOOKUP($AD79,'Look-ups'!$A$123:$M$130,10,FALSE)</f>
        <v>0.6142270549871075</v>
      </c>
      <c r="AO79" s="263">
        <f>AK79*VLOOKUP($AD79,'Look-ups'!$A$123:$M$130,9,FALSE)</f>
        <v>1.2038068441508258</v>
      </c>
      <c r="AP79" s="263">
        <f>(AL79+AM79)*VLOOKUP($AD79,'Look-ups'!$A$123:$M$130,8,FALSE)</f>
        <v>2.477875435024821</v>
      </c>
      <c r="AQ79" s="263">
        <f t="shared" si="2"/>
        <v>4.295909334162754</v>
      </c>
      <c r="AR79" s="265">
        <f>AJ79*VLOOKUP($AD79,'Look-ups'!$A$123:$M$130,11,FALSE)</f>
        <v>0.009777611704713706</v>
      </c>
      <c r="AS79" s="265">
        <f>AK79*VLOOKUP($AD79,'Look-ups'!$A$123:$M$130,12,FALSE)</f>
        <v>1.0305205763618195</v>
      </c>
      <c r="AT79" s="265">
        <f>(AL79+AM79)*VLOOKUP($AD79,'Look-ups'!$A$123:$M$130,13,FALSE)</f>
        <v>2.528248955138962</v>
      </c>
      <c r="AU79" s="265">
        <f t="shared" si="3"/>
        <v>3.568547143205495</v>
      </c>
    </row>
    <row r="80" spans="1:47" ht="15">
      <c r="A80">
        <v>3017</v>
      </c>
      <c r="B80" t="s">
        <v>191</v>
      </c>
      <c r="C80">
        <v>693.2853</v>
      </c>
      <c r="D80">
        <v>179011</v>
      </c>
      <c r="E80">
        <v>258.20683057898384</v>
      </c>
      <c r="F80" t="s">
        <v>173</v>
      </c>
      <c r="G80" t="s">
        <v>166</v>
      </c>
      <c r="H80">
        <f>VLOOKUP(CONCATENATE($G80,"-",$F80,"-",$H$2),'Look-ups'!$O$3:$S$34,5,FALSE)*VLOOKUP(CONCATENATE($F80,"-",$H$2,"-",H$3),'Look-ups'!$I$3:$M$24,5,FALSE)</f>
        <v>199.33333333333331</v>
      </c>
      <c r="I80">
        <f>VLOOKUP(CONCATENATE($G80,"-",$F80,"-",$H$2),'Look-ups'!$O$3:$S$34,5,FALSE)*VLOOKUP(CONCATENATE($F80,"-",$H$2,"-",I$3),'Look-ups'!$I$3:$M$24,5,FALSE)</f>
        <v>299</v>
      </c>
      <c r="J80">
        <f>VLOOKUP(CONCATENATE($G80,"-",$F80,"-",$H$2),'Look-ups'!$O$3:$S$34,5,FALSE)*VLOOKUP(CONCATENATE($F80,"-",$H$2,"-",J$3),'Look-ups'!$I$3:$M$24,5,FALSE)</f>
        <v>348.83333333333337</v>
      </c>
      <c r="K80">
        <f>VLOOKUP(CONCATENATE($G80,"-",$F80,"-",$H$2),'Look-ups'!$O$3:$S$34,5,FALSE)*VLOOKUP(CONCATENATE($F80,"-",$H$2,"-",K$3),'Look-ups'!$I$3:$M$24,5,FALSE)</f>
        <v>448.5</v>
      </c>
      <c r="L80">
        <f>VLOOKUP(CONCATENATE($G80,"-",$F80,"-",$H$2),'Look-ups'!$O$3:$S$34,5,FALSE)*VLOOKUP(CONCATENATE($F80,"-",$H$2,"-",L$3),'Look-ups'!$I$3:$M$24,5,FALSE)</f>
        <v>498.33333333333337</v>
      </c>
      <c r="M80">
        <f>VLOOKUP(CONCATENATE($G80,"-",$F80,"-",$H$2),'Look-ups'!$O$3:$S$34,5,FALSE)*VLOOKUP(CONCATENATE($F80,"-",$H$2,"-",M$3),'Look-ups'!$I$3:$M$24,5,FALSE)</f>
        <v>548.1666666666666</v>
      </c>
      <c r="N80">
        <f>VLOOKUP(CONCATENATE($G80,"-",$F80,"-",$N$2),'Look-ups'!$O$3:$S$34,5,FALSE)*VLOOKUP(CONCATENATE($F80,"-",$N$2,"-",N$3),'Look-ups'!$I$3:$M$24,5,FALSE)</f>
        <v>216</v>
      </c>
      <c r="O80">
        <f>VLOOKUP(CONCATENATE($G80,"-",$F80,"-",$N$2),'Look-ups'!$O$3:$S$34,5,FALSE)*VLOOKUP(CONCATENATE($F80,"-",$N$2,"-",O$3),'Look-ups'!$I$3:$M$24,5,FALSE)</f>
        <v>216</v>
      </c>
      <c r="P80">
        <f>VLOOKUP(CONCATENATE($G80,"-",$F80,"-",$N$2),'Look-ups'!$O$3:$S$34,5,FALSE)*VLOOKUP(CONCATENATE($F80,"-",$N$2,"-",P$3),'Look-ups'!$I$3:$M$24,5,FALSE)</f>
        <v>288</v>
      </c>
      <c r="Q80">
        <f>VLOOKUP(CONCATENATE($G80,"-",$F80,"-",$N$2),'Look-ups'!$O$3:$S$34,5,FALSE)*VLOOKUP(CONCATENATE($F80,"-",$N$2,"-",Q$3),'Look-ups'!$I$3:$M$24,5,FALSE)</f>
        <v>370.28571428571433</v>
      </c>
      <c r="R80">
        <f>VLOOKUP(CONCATENATE($G80,"-",$F80,"-",$N$2),'Look-ups'!$O$3:$S$34,5,FALSE)*VLOOKUP(CONCATENATE($F80,"-",$N$2,"-",R$3),'Look-ups'!$I$3:$M$24,5,FALSE)</f>
        <v>421.71428571428567</v>
      </c>
      <c r="S80" s="117">
        <f>VLOOKUP(CONCATENATE($G80,"-",$F80,"-Lone Person"),'Look-ups'!$Y$4:$AG$35,5,FALSE)</f>
        <v>96.46000000000001</v>
      </c>
      <c r="T80">
        <f>VLOOKUP(CONCATENATE($G80,"-",$F80,"-Lone Person"),'Look-ups'!$Y$4:$AG$35,6,FALSE)</f>
        <v>136.74</v>
      </c>
      <c r="U80">
        <f>VLOOKUP(CONCATENATE($G80,"-",$F80,"-Lone Person"),'Look-ups'!$Y$4:$AG$35,7,FALSE)</f>
        <v>164.3</v>
      </c>
      <c r="V80">
        <f>VLOOKUP(CONCATENATE($G80,"-",$F80,"-Lone Person"),'Look-ups'!$Y$4:$AG$35,8,FALSE)</f>
        <v>201.4</v>
      </c>
      <c r="W80">
        <f>VLOOKUP(CONCATENATE($G80,"-",$F80,"-Lone Person"),'Look-ups'!$Y$4:$AG$35,9,FALSE)</f>
        <v>190.8</v>
      </c>
      <c r="X80" s="117">
        <f>VLOOKUP(CONCATENATE($G80,"-",$F80,"-Couple Only"),'Look-ups'!$Y$4:$AG$35,5,FALSE)</f>
        <v>154.76000000000002</v>
      </c>
      <c r="Y80">
        <f>VLOOKUP(CONCATENATE($G80,"-",$F80,"-Couple Only"),'Look-ups'!$Y$4:$AG$35,6,FALSE)</f>
        <v>147.34</v>
      </c>
      <c r="Z80">
        <f>VLOOKUP(CONCATENATE($G80,"-",$F80,"-Couple Only"),'Look-ups'!$Y$4:$AG$35,7,FALSE)</f>
        <v>166.42000000000002</v>
      </c>
      <c r="AA80">
        <f>VLOOKUP(CONCATENATE($G80,"-",$F80,"-Couple Only"),'Look-ups'!$Y$4:$AG$35,8,FALSE)</f>
        <v>183.38</v>
      </c>
      <c r="AB80">
        <f>VLOOKUP(CONCATENATE($G80,"-",$F80,"-Couple Only"),'Look-ups'!$Y$4:$AG$35,9,FALSE)</f>
        <v>230.02</v>
      </c>
      <c r="AC80">
        <v>5</v>
      </c>
      <c r="AD80" t="s">
        <v>166</v>
      </c>
      <c r="AE80" s="260">
        <f>VLOOKUP($AD80,'Look-ups'!$A$122:$G$130,5,FALSE)</f>
        <v>0.06050955414012739</v>
      </c>
      <c r="AF80" s="260">
        <f>VLOOKUP($AD80,'Look-ups'!$A$122:$G$130,6,FALSE)</f>
        <v>0.14171974522292993</v>
      </c>
      <c r="AG80" s="260">
        <f>VLOOKUP($AD80,'Look-ups'!$A$122:$G$130,7,FALSE)</f>
        <v>0.7977707006369427</v>
      </c>
      <c r="AH80" s="264">
        <f>VLOOKUP($AC80,'Look-ups'!$A$50:$AO$118,'Look-ups'!$B$133*4,FALSE)*0.277778</f>
        <v>0.05697866044372309</v>
      </c>
      <c r="AI80" s="264">
        <f>VLOOKUP($AC80,'Look-ups'!$A$50:$AO$118,'Look-ups'!$B$133*4+1,FALSE)*0.277778</f>
        <v>63.83196133955628</v>
      </c>
      <c r="AJ80" s="264">
        <f>AE80*$AH80/'Look-ups'!$B$141</f>
        <v>0.004506867109740389</v>
      </c>
      <c r="AK80" s="264">
        <f>AF80*$AH80/'Look-ups'!$B$140</f>
        <v>0.01106164553592914</v>
      </c>
      <c r="AL80" s="264">
        <f>AG80*$AH80/'Look-ups'!$B$137</f>
        <v>0.00865826778353208</v>
      </c>
      <c r="AM80" s="264">
        <f>AI80/'Look-ups'!$B$136</f>
        <v>13.4383076504329</v>
      </c>
      <c r="AN80" s="263">
        <f>AJ80*VLOOKUP($AD80,'Look-ups'!$A$123:$M$130,10,FALSE)</f>
        <v>0.001223113657282322</v>
      </c>
      <c r="AO80" s="263">
        <f>AK80*VLOOKUP($AD80,'Look-ups'!$A$123:$M$130,9,FALSE)</f>
        <v>0.0023971470808001323</v>
      </c>
      <c r="AP80" s="263">
        <f>(AL80+AM80)*VLOOKUP($AD80,'Look-ups'!$A$123:$M$130,8,FALSE)</f>
        <v>3.364610165616661</v>
      </c>
      <c r="AQ80" s="263">
        <f t="shared" si="2"/>
        <v>3.3682304263547436</v>
      </c>
      <c r="AR80" s="265">
        <f>AJ80*VLOOKUP($AD80,'Look-ups'!$A$123:$M$130,11,FALSE)</f>
        <v>1.9470211079988718E-05</v>
      </c>
      <c r="AS80" s="265">
        <f>AK80*VLOOKUP($AD80,'Look-ups'!$A$123:$M$130,12,FALSE)</f>
        <v>0.002052081198352697</v>
      </c>
      <c r="AT80" s="265">
        <f>(AL80+AM80)*VLOOKUP($AD80,'Look-ups'!$A$123:$M$130,13,FALSE)</f>
        <v>3.433010398920656</v>
      </c>
      <c r="AU80" s="265">
        <f t="shared" si="3"/>
        <v>3.4350819503300887</v>
      </c>
    </row>
    <row r="81" spans="1:47" ht="15">
      <c r="A81">
        <v>3018</v>
      </c>
      <c r="B81" t="s">
        <v>368</v>
      </c>
      <c r="C81">
        <v>158.723099999999</v>
      </c>
      <c r="D81">
        <v>15525</v>
      </c>
      <c r="E81">
        <v>97.81184969295647</v>
      </c>
      <c r="F81" t="s">
        <v>173</v>
      </c>
      <c r="G81" t="s">
        <v>166</v>
      </c>
      <c r="H81">
        <f>VLOOKUP(CONCATENATE($G81,"-",$F81,"-",$H$2),'Look-ups'!$O$3:$S$34,5,FALSE)*VLOOKUP(CONCATENATE($F81,"-",$H$2,"-",H$3),'Look-ups'!$I$3:$M$24,5,FALSE)</f>
        <v>199.33333333333331</v>
      </c>
      <c r="I81">
        <f>VLOOKUP(CONCATENATE($G81,"-",$F81,"-",$H$2),'Look-ups'!$O$3:$S$34,5,FALSE)*VLOOKUP(CONCATENATE($F81,"-",$H$2,"-",I$3),'Look-ups'!$I$3:$M$24,5,FALSE)</f>
        <v>299</v>
      </c>
      <c r="J81">
        <f>VLOOKUP(CONCATENATE($G81,"-",$F81,"-",$H$2),'Look-ups'!$O$3:$S$34,5,FALSE)*VLOOKUP(CONCATENATE($F81,"-",$H$2,"-",J$3),'Look-ups'!$I$3:$M$24,5,FALSE)</f>
        <v>348.83333333333337</v>
      </c>
      <c r="K81">
        <f>VLOOKUP(CONCATENATE($G81,"-",$F81,"-",$H$2),'Look-ups'!$O$3:$S$34,5,FALSE)*VLOOKUP(CONCATENATE($F81,"-",$H$2,"-",K$3),'Look-ups'!$I$3:$M$24,5,FALSE)</f>
        <v>448.5</v>
      </c>
      <c r="L81">
        <f>VLOOKUP(CONCATENATE($G81,"-",$F81,"-",$H$2),'Look-ups'!$O$3:$S$34,5,FALSE)*VLOOKUP(CONCATENATE($F81,"-",$H$2,"-",L$3),'Look-ups'!$I$3:$M$24,5,FALSE)</f>
        <v>498.33333333333337</v>
      </c>
      <c r="M81">
        <f>VLOOKUP(CONCATENATE($G81,"-",$F81,"-",$H$2),'Look-ups'!$O$3:$S$34,5,FALSE)*VLOOKUP(CONCATENATE($F81,"-",$H$2,"-",M$3),'Look-ups'!$I$3:$M$24,5,FALSE)</f>
        <v>548.1666666666666</v>
      </c>
      <c r="N81">
        <f>VLOOKUP(CONCATENATE($G81,"-",$F81,"-",$N$2),'Look-ups'!$O$3:$S$34,5,FALSE)*VLOOKUP(CONCATENATE($F81,"-",$N$2,"-",N$3),'Look-ups'!$I$3:$M$24,5,FALSE)</f>
        <v>216</v>
      </c>
      <c r="O81">
        <f>VLOOKUP(CONCATENATE($G81,"-",$F81,"-",$N$2),'Look-ups'!$O$3:$S$34,5,FALSE)*VLOOKUP(CONCATENATE($F81,"-",$N$2,"-",O$3),'Look-ups'!$I$3:$M$24,5,FALSE)</f>
        <v>216</v>
      </c>
      <c r="P81">
        <f>VLOOKUP(CONCATENATE($G81,"-",$F81,"-",$N$2),'Look-ups'!$O$3:$S$34,5,FALSE)*VLOOKUP(CONCATENATE($F81,"-",$N$2,"-",P$3),'Look-ups'!$I$3:$M$24,5,FALSE)</f>
        <v>288</v>
      </c>
      <c r="Q81">
        <f>VLOOKUP(CONCATENATE($G81,"-",$F81,"-",$N$2),'Look-ups'!$O$3:$S$34,5,FALSE)*VLOOKUP(CONCATENATE($F81,"-",$N$2,"-",Q$3),'Look-ups'!$I$3:$M$24,5,FALSE)</f>
        <v>370.28571428571433</v>
      </c>
      <c r="R81">
        <f>VLOOKUP(CONCATENATE($G81,"-",$F81,"-",$N$2),'Look-ups'!$O$3:$S$34,5,FALSE)*VLOOKUP(CONCATENATE($F81,"-",$N$2,"-",R$3),'Look-ups'!$I$3:$M$24,5,FALSE)</f>
        <v>421.71428571428567</v>
      </c>
      <c r="S81" s="117">
        <f>VLOOKUP(CONCATENATE($G81,"-",$F81,"-Lone Person"),'Look-ups'!$Y$4:$AG$35,5,FALSE)</f>
        <v>96.46000000000001</v>
      </c>
      <c r="T81">
        <f>VLOOKUP(CONCATENATE($G81,"-",$F81,"-Lone Person"),'Look-ups'!$Y$4:$AG$35,6,FALSE)</f>
        <v>136.74</v>
      </c>
      <c r="U81">
        <f>VLOOKUP(CONCATENATE($G81,"-",$F81,"-Lone Person"),'Look-ups'!$Y$4:$AG$35,7,FALSE)</f>
        <v>164.3</v>
      </c>
      <c r="V81">
        <f>VLOOKUP(CONCATENATE($G81,"-",$F81,"-Lone Person"),'Look-ups'!$Y$4:$AG$35,8,FALSE)</f>
        <v>201.4</v>
      </c>
      <c r="W81">
        <f>VLOOKUP(CONCATENATE($G81,"-",$F81,"-Lone Person"),'Look-ups'!$Y$4:$AG$35,9,FALSE)</f>
        <v>190.8</v>
      </c>
      <c r="X81" s="117">
        <f>VLOOKUP(CONCATENATE($G81,"-",$F81,"-Couple Only"),'Look-ups'!$Y$4:$AG$35,5,FALSE)</f>
        <v>154.76000000000002</v>
      </c>
      <c r="Y81">
        <f>VLOOKUP(CONCATENATE($G81,"-",$F81,"-Couple Only"),'Look-ups'!$Y$4:$AG$35,6,FALSE)</f>
        <v>147.34</v>
      </c>
      <c r="Z81">
        <f>VLOOKUP(CONCATENATE($G81,"-",$F81,"-Couple Only"),'Look-ups'!$Y$4:$AG$35,7,FALSE)</f>
        <v>166.42000000000002</v>
      </c>
      <c r="AA81">
        <f>VLOOKUP(CONCATENATE($G81,"-",$F81,"-Couple Only"),'Look-ups'!$Y$4:$AG$35,8,FALSE)</f>
        <v>183.38</v>
      </c>
      <c r="AB81">
        <f>VLOOKUP(CONCATENATE($G81,"-",$F81,"-Couple Only"),'Look-ups'!$Y$4:$AG$35,9,FALSE)</f>
        <v>230.02</v>
      </c>
      <c r="AC81">
        <v>9</v>
      </c>
      <c r="AD81" t="s">
        <v>166</v>
      </c>
      <c r="AE81" s="260">
        <f>VLOOKUP($AD81,'Look-ups'!$A$122:$G$130,5,FALSE)</f>
        <v>0.06050955414012739</v>
      </c>
      <c r="AF81" s="260">
        <f>VLOOKUP($AD81,'Look-ups'!$A$122:$G$130,6,FALSE)</f>
        <v>0.14171974522292993</v>
      </c>
      <c r="AG81" s="260">
        <f>VLOOKUP($AD81,'Look-ups'!$A$122:$G$130,7,FALSE)</f>
        <v>0.7977707006369427</v>
      </c>
      <c r="AH81" s="264">
        <f>VLOOKUP($AC81,'Look-ups'!$A$50:$AO$118,'Look-ups'!$B$133*4,FALSE)*0.277778</f>
        <v>14.028700976231834</v>
      </c>
      <c r="AI81" s="264">
        <f>VLOOKUP($AC81,'Look-ups'!$A$50:$AO$118,'Look-ups'!$B$133*4+1,FALSE)*0.277778</f>
        <v>33.47133702376817</v>
      </c>
      <c r="AJ81" s="264">
        <f>AE81*$AH81/'Look-ups'!$B$141</f>
        <v>1.1096345637084422</v>
      </c>
      <c r="AK81" s="264">
        <f>AF81*$AH81/'Look-ups'!$B$140</f>
        <v>2.723484833096225</v>
      </c>
      <c r="AL81" s="264">
        <f>AG81*$AH81/'Look-ups'!$B$137</f>
        <v>2.131749829873263</v>
      </c>
      <c r="AM81" s="264">
        <f>AI81/'Look-ups'!$B$136</f>
        <v>7.046597268161721</v>
      </c>
      <c r="AN81" s="263">
        <f>AJ81*VLOOKUP($AD81,'Look-ups'!$A$123:$M$130,10,FALSE)</f>
        <v>0.30114249131754106</v>
      </c>
      <c r="AO81" s="263">
        <f>AK81*VLOOKUP($AD81,'Look-ups'!$A$123:$M$130,9,FALSE)</f>
        <v>0.5902009512106168</v>
      </c>
      <c r="AP81" s="263">
        <f>(AL81+AM81)*VLOOKUP($AD81,'Look-ups'!$A$123:$M$130,8,FALSE)</f>
        <v>2.2965448218896602</v>
      </c>
      <c r="AQ81" s="263">
        <f t="shared" si="2"/>
        <v>3.1878882644178184</v>
      </c>
      <c r="AR81" s="265">
        <f>AJ81*VLOOKUP($AD81,'Look-ups'!$A$123:$M$130,11,FALSE)</f>
        <v>0.0047937555403756</v>
      </c>
      <c r="AS81" s="265">
        <f>AK81*VLOOKUP($AD81,'Look-ups'!$A$123:$M$130,12,FALSE)</f>
        <v>0.5052423712044083</v>
      </c>
      <c r="AT81" s="265">
        <f>(AL81+AM81)*VLOOKUP($AD81,'Look-ups'!$A$123:$M$130,13,FALSE)</f>
        <v>2.3432320141283314</v>
      </c>
      <c r="AU81" s="265">
        <f t="shared" si="3"/>
        <v>2.8532681408731153</v>
      </c>
    </row>
    <row r="82" spans="1:47" ht="15">
      <c r="A82">
        <v>3019</v>
      </c>
      <c r="B82" t="s">
        <v>369</v>
      </c>
      <c r="C82">
        <v>78.5558</v>
      </c>
      <c r="D82">
        <v>20244</v>
      </c>
      <c r="E82">
        <v>257.7021683949498</v>
      </c>
      <c r="F82" t="s">
        <v>173</v>
      </c>
      <c r="G82" t="s">
        <v>166</v>
      </c>
      <c r="H82">
        <f>VLOOKUP(CONCATENATE($G82,"-",$F82,"-",$H$2),'Look-ups'!$O$3:$S$34,5,FALSE)*VLOOKUP(CONCATENATE($F82,"-",$H$2,"-",H$3),'Look-ups'!$I$3:$M$24,5,FALSE)</f>
        <v>199.33333333333331</v>
      </c>
      <c r="I82">
        <f>VLOOKUP(CONCATENATE($G82,"-",$F82,"-",$H$2),'Look-ups'!$O$3:$S$34,5,FALSE)*VLOOKUP(CONCATENATE($F82,"-",$H$2,"-",I$3),'Look-ups'!$I$3:$M$24,5,FALSE)</f>
        <v>299</v>
      </c>
      <c r="J82">
        <f>VLOOKUP(CONCATENATE($G82,"-",$F82,"-",$H$2),'Look-ups'!$O$3:$S$34,5,FALSE)*VLOOKUP(CONCATENATE($F82,"-",$H$2,"-",J$3),'Look-ups'!$I$3:$M$24,5,FALSE)</f>
        <v>348.83333333333337</v>
      </c>
      <c r="K82">
        <f>VLOOKUP(CONCATENATE($G82,"-",$F82,"-",$H$2),'Look-ups'!$O$3:$S$34,5,FALSE)*VLOOKUP(CONCATENATE($F82,"-",$H$2,"-",K$3),'Look-ups'!$I$3:$M$24,5,FALSE)</f>
        <v>448.5</v>
      </c>
      <c r="L82">
        <f>VLOOKUP(CONCATENATE($G82,"-",$F82,"-",$H$2),'Look-ups'!$O$3:$S$34,5,FALSE)*VLOOKUP(CONCATENATE($F82,"-",$H$2,"-",L$3),'Look-ups'!$I$3:$M$24,5,FALSE)</f>
        <v>498.33333333333337</v>
      </c>
      <c r="M82">
        <f>VLOOKUP(CONCATENATE($G82,"-",$F82,"-",$H$2),'Look-ups'!$O$3:$S$34,5,FALSE)*VLOOKUP(CONCATENATE($F82,"-",$H$2,"-",M$3),'Look-ups'!$I$3:$M$24,5,FALSE)</f>
        <v>548.1666666666666</v>
      </c>
      <c r="N82">
        <f>VLOOKUP(CONCATENATE($G82,"-",$F82,"-",$N$2),'Look-ups'!$O$3:$S$34,5,FALSE)*VLOOKUP(CONCATENATE($F82,"-",$N$2,"-",N$3),'Look-ups'!$I$3:$M$24,5,FALSE)</f>
        <v>216</v>
      </c>
      <c r="O82">
        <f>VLOOKUP(CONCATENATE($G82,"-",$F82,"-",$N$2),'Look-ups'!$O$3:$S$34,5,FALSE)*VLOOKUP(CONCATENATE($F82,"-",$N$2,"-",O$3),'Look-ups'!$I$3:$M$24,5,FALSE)</f>
        <v>216</v>
      </c>
      <c r="P82">
        <f>VLOOKUP(CONCATENATE($G82,"-",$F82,"-",$N$2),'Look-ups'!$O$3:$S$34,5,FALSE)*VLOOKUP(CONCATENATE($F82,"-",$N$2,"-",P$3),'Look-ups'!$I$3:$M$24,5,FALSE)</f>
        <v>288</v>
      </c>
      <c r="Q82">
        <f>VLOOKUP(CONCATENATE($G82,"-",$F82,"-",$N$2),'Look-ups'!$O$3:$S$34,5,FALSE)*VLOOKUP(CONCATENATE($F82,"-",$N$2,"-",Q$3),'Look-ups'!$I$3:$M$24,5,FALSE)</f>
        <v>370.28571428571433</v>
      </c>
      <c r="R82">
        <f>VLOOKUP(CONCATENATE($G82,"-",$F82,"-",$N$2),'Look-ups'!$O$3:$S$34,5,FALSE)*VLOOKUP(CONCATENATE($F82,"-",$N$2,"-",R$3),'Look-ups'!$I$3:$M$24,5,FALSE)</f>
        <v>421.71428571428567</v>
      </c>
      <c r="S82" s="117">
        <f>VLOOKUP(CONCATENATE($G82,"-",$F82,"-Lone Person"),'Look-ups'!$Y$4:$AG$35,5,FALSE)</f>
        <v>96.46000000000001</v>
      </c>
      <c r="T82">
        <f>VLOOKUP(CONCATENATE($G82,"-",$F82,"-Lone Person"),'Look-ups'!$Y$4:$AG$35,6,FALSE)</f>
        <v>136.74</v>
      </c>
      <c r="U82">
        <f>VLOOKUP(CONCATENATE($G82,"-",$F82,"-Lone Person"),'Look-ups'!$Y$4:$AG$35,7,FALSE)</f>
        <v>164.3</v>
      </c>
      <c r="V82">
        <f>VLOOKUP(CONCATENATE($G82,"-",$F82,"-Lone Person"),'Look-ups'!$Y$4:$AG$35,8,FALSE)</f>
        <v>201.4</v>
      </c>
      <c r="W82">
        <f>VLOOKUP(CONCATENATE($G82,"-",$F82,"-Lone Person"),'Look-ups'!$Y$4:$AG$35,9,FALSE)</f>
        <v>190.8</v>
      </c>
      <c r="X82" s="117">
        <f>VLOOKUP(CONCATENATE($G82,"-",$F82,"-Couple Only"),'Look-ups'!$Y$4:$AG$35,5,FALSE)</f>
        <v>154.76000000000002</v>
      </c>
      <c r="Y82">
        <f>VLOOKUP(CONCATENATE($G82,"-",$F82,"-Couple Only"),'Look-ups'!$Y$4:$AG$35,6,FALSE)</f>
        <v>147.34</v>
      </c>
      <c r="Z82">
        <f>VLOOKUP(CONCATENATE($G82,"-",$F82,"-Couple Only"),'Look-ups'!$Y$4:$AG$35,7,FALSE)</f>
        <v>166.42000000000002</v>
      </c>
      <c r="AA82">
        <f>VLOOKUP(CONCATENATE($G82,"-",$F82,"-Couple Only"),'Look-ups'!$Y$4:$AG$35,8,FALSE)</f>
        <v>183.38</v>
      </c>
      <c r="AB82">
        <f>VLOOKUP(CONCATENATE($G82,"-",$F82,"-Couple Only"),'Look-ups'!$Y$4:$AG$35,9,FALSE)</f>
        <v>230.02</v>
      </c>
      <c r="AC82">
        <v>7</v>
      </c>
      <c r="AD82" t="s">
        <v>166</v>
      </c>
      <c r="AE82" s="260">
        <f>VLOOKUP($AD82,'Look-ups'!$A$122:$G$130,5,FALSE)</f>
        <v>0.06050955414012739</v>
      </c>
      <c r="AF82" s="260">
        <f>VLOOKUP($AD82,'Look-ups'!$A$122:$G$130,6,FALSE)</f>
        <v>0.14171974522292993</v>
      </c>
      <c r="AG82" s="260">
        <f>VLOOKUP($AD82,'Look-ups'!$A$122:$G$130,7,FALSE)</f>
        <v>0.7977707006369427</v>
      </c>
      <c r="AH82" s="264">
        <f>VLOOKUP($AC82,'Look-ups'!$A$50:$AO$118,'Look-ups'!$B$133*4,FALSE)*0.277778</f>
        <v>2.578532460978112</v>
      </c>
      <c r="AI82" s="264">
        <f>VLOOKUP($AC82,'Look-ups'!$A$50:$AO$118,'Look-ups'!$B$133*4+1,FALSE)*0.277778</f>
        <v>54.088179539021894</v>
      </c>
      <c r="AJ82" s="264">
        <f>AE82*$AH82/'Look-ups'!$B$141</f>
        <v>0.20395535888840657</v>
      </c>
      <c r="AK82" s="264">
        <f>AF82*$AH82/'Look-ups'!$B$140</f>
        <v>0.5005876211217433</v>
      </c>
      <c r="AL82" s="264">
        <f>AG82*$AH82/'Look-ups'!$B$137</f>
        <v>0.3918243139065921</v>
      </c>
      <c r="AM82" s="264">
        <f>AI82/'Look-ups'!$B$136</f>
        <v>11.386985166109872</v>
      </c>
      <c r="AN82" s="263">
        <f>AJ82*VLOOKUP($AD82,'Look-ups'!$A$123:$M$130,10,FALSE)</f>
        <v>0.05535121823165922</v>
      </c>
      <c r="AO82" s="263">
        <f>AK82*VLOOKUP($AD82,'Look-ups'!$A$123:$M$130,9,FALSE)</f>
        <v>0.10848134219805075</v>
      </c>
      <c r="AP82" s="263">
        <f>(AL82+AM82)*VLOOKUP($AD82,'Look-ups'!$A$123:$M$130,8,FALSE)</f>
        <v>2.9472151826931863</v>
      </c>
      <c r="AQ82" s="263">
        <f t="shared" si="2"/>
        <v>3.1110477431228962</v>
      </c>
      <c r="AR82" s="265">
        <f>AJ82*VLOOKUP($AD82,'Look-ups'!$A$123:$M$130,11,FALSE)</f>
        <v>0.0008811118215289192</v>
      </c>
      <c r="AS82" s="265">
        <f>AK82*VLOOKUP($AD82,'Look-ups'!$A$123:$M$130,12,FALSE)</f>
        <v>0.09286560865609472</v>
      </c>
      <c r="AT82" s="265">
        <f>(AL82+AM82)*VLOOKUP($AD82,'Look-ups'!$A$123:$M$130,13,FALSE)</f>
        <v>3.007130060248204</v>
      </c>
      <c r="AU82" s="265">
        <f t="shared" si="3"/>
        <v>3.1008767807258275</v>
      </c>
    </row>
    <row r="83" spans="1:47" ht="15">
      <c r="A83">
        <v>4000</v>
      </c>
      <c r="B83" t="s">
        <v>370</v>
      </c>
      <c r="C83">
        <v>980878.847799999</v>
      </c>
      <c r="D83">
        <v>272390</v>
      </c>
      <c r="E83">
        <v>0.27769994287361804</v>
      </c>
      <c r="F83" t="s">
        <v>173</v>
      </c>
      <c r="G83" t="s">
        <v>167</v>
      </c>
      <c r="H83">
        <f>VLOOKUP(CONCATENATE($G83,"-",$F83,"-",$H$2),'Look-ups'!$O$3:$S$34,5,FALSE)*VLOOKUP(CONCATENATE($F83,"-",$H$2,"-",H$3),'Look-ups'!$I$3:$M$24,5,FALSE)</f>
        <v>115.33333333333333</v>
      </c>
      <c r="I83">
        <f>VLOOKUP(CONCATENATE($G83,"-",$F83,"-",$H$2),'Look-ups'!$O$3:$S$34,5,FALSE)*VLOOKUP(CONCATENATE($F83,"-",$H$2,"-",I$3),'Look-ups'!$I$3:$M$24,5,FALSE)</f>
        <v>173</v>
      </c>
      <c r="J83">
        <f>VLOOKUP(CONCATENATE($G83,"-",$F83,"-",$H$2),'Look-ups'!$O$3:$S$34,5,FALSE)*VLOOKUP(CONCATENATE($F83,"-",$H$2,"-",J$3),'Look-ups'!$I$3:$M$24,5,FALSE)</f>
        <v>201.83333333333334</v>
      </c>
      <c r="K83">
        <f>VLOOKUP(CONCATENATE($G83,"-",$F83,"-",$H$2),'Look-ups'!$O$3:$S$34,5,FALSE)*VLOOKUP(CONCATENATE($F83,"-",$H$2,"-",K$3),'Look-ups'!$I$3:$M$24,5,FALSE)</f>
        <v>259.5</v>
      </c>
      <c r="L83">
        <f>VLOOKUP(CONCATENATE($G83,"-",$F83,"-",$H$2),'Look-ups'!$O$3:$S$34,5,FALSE)*VLOOKUP(CONCATENATE($F83,"-",$H$2,"-",L$3),'Look-ups'!$I$3:$M$24,5,FALSE)</f>
        <v>288.33333333333337</v>
      </c>
      <c r="M83">
        <f>VLOOKUP(CONCATENATE($G83,"-",$F83,"-",$H$2),'Look-ups'!$O$3:$S$34,5,FALSE)*VLOOKUP(CONCATENATE($F83,"-",$H$2,"-",M$3),'Look-ups'!$I$3:$M$24,5,FALSE)</f>
        <v>317.16666666666663</v>
      </c>
      <c r="N83">
        <f>VLOOKUP(CONCATENATE($G83,"-",$F83,"-",$N$2),'Look-ups'!$O$3:$S$34,5,FALSE)*VLOOKUP(CONCATENATE($F83,"-",$N$2,"-",N$3),'Look-ups'!$I$3:$M$24,5,FALSE)</f>
        <v>153.75</v>
      </c>
      <c r="O83">
        <f>VLOOKUP(CONCATENATE($G83,"-",$F83,"-",$N$2),'Look-ups'!$O$3:$S$34,5,FALSE)*VLOOKUP(CONCATENATE($F83,"-",$N$2,"-",O$3),'Look-ups'!$I$3:$M$24,5,FALSE)</f>
        <v>153.75</v>
      </c>
      <c r="P83">
        <f>VLOOKUP(CONCATENATE($G83,"-",$F83,"-",$N$2),'Look-ups'!$O$3:$S$34,5,FALSE)*VLOOKUP(CONCATENATE($F83,"-",$N$2,"-",P$3),'Look-ups'!$I$3:$M$24,5,FALSE)</f>
        <v>205</v>
      </c>
      <c r="Q83">
        <f>VLOOKUP(CONCATENATE($G83,"-",$F83,"-",$N$2),'Look-ups'!$O$3:$S$34,5,FALSE)*VLOOKUP(CONCATENATE($F83,"-",$N$2,"-",Q$3),'Look-ups'!$I$3:$M$24,5,FALSE)</f>
        <v>263.5714285714286</v>
      </c>
      <c r="R83">
        <f>VLOOKUP(CONCATENATE($G83,"-",$F83,"-",$N$2),'Look-ups'!$O$3:$S$34,5,FALSE)*VLOOKUP(CONCATENATE($F83,"-",$N$2,"-",R$3),'Look-ups'!$I$3:$M$24,5,FALSE)</f>
        <v>300.1785714285714</v>
      </c>
      <c r="S83" s="117">
        <f>VLOOKUP(CONCATENATE($G83,"-",$F83,"-Lone Person"),'Look-ups'!$Y$4:$AG$35,5,FALSE)</f>
        <v>92.22</v>
      </c>
      <c r="T83">
        <f>VLOOKUP(CONCATENATE($G83,"-",$F83,"-Lone Person"),'Look-ups'!$Y$4:$AG$35,6,FALSE)</f>
        <v>132.5</v>
      </c>
      <c r="U83">
        <f>VLOOKUP(CONCATENATE($G83,"-",$F83,"-Lone Person"),'Look-ups'!$Y$4:$AG$35,7,FALSE)</f>
        <v>159</v>
      </c>
      <c r="V83">
        <f>VLOOKUP(CONCATENATE($G83,"-",$F83,"-Lone Person"),'Look-ups'!$Y$4:$AG$35,8,FALSE)</f>
        <v>193.98000000000002</v>
      </c>
      <c r="W83">
        <f>VLOOKUP(CONCATENATE($G83,"-",$F83,"-Lone Person"),'Look-ups'!$Y$4:$AG$35,9,FALSE)</f>
        <v>184.44</v>
      </c>
      <c r="X83" s="117">
        <f>VLOOKUP(CONCATENATE($G83,"-",$F83,"-Couple Only"),'Look-ups'!$Y$4:$AG$35,5,FALSE)</f>
        <v>149.46</v>
      </c>
      <c r="Y83">
        <f>VLOOKUP(CONCATENATE($G83,"-",$F83,"-Couple Only"),'Look-ups'!$Y$4:$AG$35,6,FALSE)</f>
        <v>142.04000000000002</v>
      </c>
      <c r="Z83">
        <f>VLOOKUP(CONCATENATE($G83,"-",$F83,"-Couple Only"),'Look-ups'!$Y$4:$AG$35,7,FALSE)</f>
        <v>160.06</v>
      </c>
      <c r="AA83">
        <f>VLOOKUP(CONCATENATE($G83,"-",$F83,"-Couple Only"),'Look-ups'!$Y$4:$AG$35,8,FALSE)</f>
        <v>177.02</v>
      </c>
      <c r="AB83">
        <f>VLOOKUP(CONCATENATE($G83,"-",$F83,"-Couple Only"),'Look-ups'!$Y$4:$AG$35,9,FALSE)</f>
        <v>222.60000000000002</v>
      </c>
      <c r="AC83">
        <v>43</v>
      </c>
      <c r="AD83" t="s">
        <v>167</v>
      </c>
      <c r="AE83" s="260">
        <f>VLOOKUP($AD83,'Look-ups'!$A$122:$G$130,5,FALSE)</f>
        <v>0.16871165644171782</v>
      </c>
      <c r="AF83" s="260">
        <f>VLOOKUP($AD83,'Look-ups'!$A$122:$G$130,6,FALSE)</f>
        <v>0.2760736196319019</v>
      </c>
      <c r="AG83" s="260">
        <f>VLOOKUP($AD83,'Look-ups'!$A$122:$G$130,7,FALSE)</f>
        <v>0.5552147239263804</v>
      </c>
      <c r="AH83" s="264">
        <f>VLOOKUP($AC83,'Look-ups'!$A$50:$AO$118,'Look-ups'!$B$133*4,FALSE)*0.277778</f>
        <v>13.389674133546139</v>
      </c>
      <c r="AI83" s="264">
        <f>VLOOKUP($AC83,'Look-ups'!$A$50:$AO$118,'Look-ups'!$B$133*4+1,FALSE)*0.277778</f>
        <v>48.277041866453864</v>
      </c>
      <c r="AJ83" s="264">
        <f>AE83*$AH83/'Look-ups'!$B$141</f>
        <v>2.952933467039728</v>
      </c>
      <c r="AK83" s="264">
        <f>AF83*$AH83/'Look-ups'!$B$140</f>
        <v>5.063747676355798</v>
      </c>
      <c r="AL83" s="264">
        <f>AG83*$AH83/'Look-ups'!$B$137</f>
        <v>1.4160274719087649</v>
      </c>
      <c r="AM83" s="264">
        <f>AI83/'Look-ups'!$B$136</f>
        <v>10.163587761358707</v>
      </c>
      <c r="AN83" s="263">
        <f>AJ83*VLOOKUP($AD83,'Look-ups'!$A$123:$M$130,10,FALSE)</f>
        <v>0.801393332582726</v>
      </c>
      <c r="AO83" s="263">
        <f>AK83*VLOOKUP($AD83,'Look-ups'!$A$123:$M$130,9,FALSE)</f>
        <v>0.9355010517188166</v>
      </c>
      <c r="AP83" s="263">
        <f>(AL83+AM83)*VLOOKUP($AD83,'Look-ups'!$A$123:$M$130,8,FALSE)</f>
        <v>4.226175116916883</v>
      </c>
      <c r="AQ83" s="263">
        <f t="shared" si="2"/>
        <v>5.963069501218426</v>
      </c>
      <c r="AR83" s="265">
        <f>AJ83*VLOOKUP($AD83,'Look-ups'!$A$123:$M$130,11,FALSE)</f>
        <v>0.01275702977444531</v>
      </c>
      <c r="AS83" s="265">
        <f>AK83*VLOOKUP($AD83,'Look-ups'!$A$123:$M$130,12,FALSE)</f>
        <v>0.9393920069216053</v>
      </c>
      <c r="AT83" s="265">
        <f>(AL83+AM83)*VLOOKUP($AD83,'Look-ups'!$A$123:$M$130,13,FALSE)</f>
        <v>0.979635448734428</v>
      </c>
      <c r="AU83" s="265">
        <f t="shared" si="3"/>
        <v>1.9317844854304784</v>
      </c>
    </row>
    <row r="84" spans="1:47" ht="15">
      <c r="A84">
        <v>4001</v>
      </c>
      <c r="B84" t="s">
        <v>371</v>
      </c>
      <c r="C84">
        <v>2246.25669999999</v>
      </c>
      <c r="D84">
        <v>1368209</v>
      </c>
      <c r="E84">
        <v>609.1062521928176</v>
      </c>
      <c r="F84" t="s">
        <v>172</v>
      </c>
      <c r="G84" t="s">
        <v>167</v>
      </c>
      <c r="H84">
        <f>VLOOKUP(CONCATENATE($G84,"-",$F84,"-",$H$2),'Look-ups'!$O$3:$S$34,5,FALSE)*VLOOKUP(CONCATENATE($F84,"-",$H$2,"-",H$3),'Look-ups'!$I$3:$M$24,5,FALSE)</f>
        <v>213.19444444444443</v>
      </c>
      <c r="I84">
        <f>VLOOKUP(CONCATENATE($G84,"-",$F84,"-",$H$2),'Look-ups'!$O$3:$S$34,5,FALSE)*VLOOKUP(CONCATENATE($F84,"-",$H$2,"-",I$3),'Look-ups'!$I$3:$M$24,5,FALSE)</f>
        <v>307</v>
      </c>
      <c r="J84">
        <f>VLOOKUP(CONCATENATE($G84,"-",$F84,"-",$H$2),'Look-ups'!$O$3:$S$34,5,FALSE)*VLOOKUP(CONCATENATE($F84,"-",$H$2,"-",J$3),'Look-ups'!$I$3:$M$24,5,FALSE)</f>
        <v>375.22222222222223</v>
      </c>
      <c r="K84">
        <f>VLOOKUP(CONCATENATE($G84,"-",$F84,"-",$H$2),'Look-ups'!$O$3:$S$34,5,FALSE)*VLOOKUP(CONCATENATE($F84,"-",$H$2,"-",K$3),'Look-ups'!$I$3:$M$24,5,FALSE)</f>
        <v>477.55555555555554</v>
      </c>
      <c r="L84">
        <f>VLOOKUP(CONCATENATE($G84,"-",$F84,"-",$H$2),'Look-ups'!$O$3:$S$34,5,FALSE)*VLOOKUP(CONCATENATE($F84,"-",$H$2,"-",L$3),'Look-ups'!$I$3:$M$24,5,FALSE)</f>
        <v>575.625</v>
      </c>
      <c r="M84">
        <f>VLOOKUP(CONCATENATE($G84,"-",$F84,"-",$H$2),'Look-ups'!$O$3:$S$34,5,FALSE)*VLOOKUP(CONCATENATE($F84,"-",$H$2,"-",M$3),'Look-ups'!$I$3:$M$24,5,FALSE)</f>
        <v>639.5833333333334</v>
      </c>
      <c r="N84">
        <f>VLOOKUP(CONCATENATE($G84,"-",$F84,"-",$N$2),'Look-ups'!$O$3:$S$34,5,FALSE)*VLOOKUP(CONCATENATE($F84,"-",$N$2,"-",N$3),'Look-ups'!$I$3:$M$24,5,FALSE)</f>
        <v>199.68</v>
      </c>
      <c r="O84">
        <f>VLOOKUP(CONCATENATE($G84,"-",$F84,"-",$N$2),'Look-ups'!$O$3:$S$34,5,FALSE)*VLOOKUP(CONCATENATE($F84,"-",$N$2,"-",O$3),'Look-ups'!$I$3:$M$24,5,FALSE)</f>
        <v>268.8</v>
      </c>
      <c r="P84">
        <f>VLOOKUP(CONCATENATE($G84,"-",$F84,"-",$N$2),'Look-ups'!$O$3:$S$34,5,FALSE)*VLOOKUP(CONCATENATE($F84,"-",$N$2,"-",P$3),'Look-ups'!$I$3:$M$24,5,FALSE)</f>
        <v>288</v>
      </c>
      <c r="Q84">
        <f>VLOOKUP(CONCATENATE($G84,"-",$F84,"-",$N$2),'Look-ups'!$O$3:$S$34,5,FALSE)*VLOOKUP(CONCATENATE($F84,"-",$N$2,"-",Q$3),'Look-ups'!$I$3:$M$24,5,FALSE)</f>
        <v>376.32</v>
      </c>
      <c r="R84">
        <f>VLOOKUP(CONCATENATE($G84,"-",$F84,"-",$N$2),'Look-ups'!$O$3:$S$34,5,FALSE)*VLOOKUP(CONCATENATE($F84,"-",$N$2,"-",R$3),'Look-ups'!$I$3:$M$24,5,FALSE)</f>
        <v>422.4</v>
      </c>
      <c r="S84" s="117">
        <f>VLOOKUP(CONCATENATE($G84,"-",$F84,"-Lone Person"),'Look-ups'!$Y$4:$AG$35,5,FALSE)</f>
        <v>96.46000000000001</v>
      </c>
      <c r="T84">
        <f>VLOOKUP(CONCATENATE($G84,"-",$F84,"-Lone Person"),'Look-ups'!$Y$4:$AG$35,6,FALSE)</f>
        <v>136.74</v>
      </c>
      <c r="U84">
        <f>VLOOKUP(CONCATENATE($G84,"-",$F84,"-Lone Person"),'Look-ups'!$Y$4:$AG$35,7,FALSE)</f>
        <v>164.3</v>
      </c>
      <c r="V84">
        <f>VLOOKUP(CONCATENATE($G84,"-",$F84,"-Lone Person"),'Look-ups'!$Y$4:$AG$35,8,FALSE)</f>
        <v>201.4</v>
      </c>
      <c r="W84">
        <f>VLOOKUP(CONCATENATE($G84,"-",$F84,"-Lone Person"),'Look-ups'!$Y$4:$AG$35,9,FALSE)</f>
        <v>190.8</v>
      </c>
      <c r="X84" s="117">
        <f>VLOOKUP(CONCATENATE($G84,"-",$F84,"-Couple Only"),'Look-ups'!$Y$4:$AG$35,5,FALSE)</f>
        <v>154.76000000000002</v>
      </c>
      <c r="Y84">
        <f>VLOOKUP(CONCATENATE($G84,"-",$F84,"-Couple Only"),'Look-ups'!$Y$4:$AG$35,6,FALSE)</f>
        <v>147.34</v>
      </c>
      <c r="Z84">
        <f>VLOOKUP(CONCATENATE($G84,"-",$F84,"-Couple Only"),'Look-ups'!$Y$4:$AG$35,7,FALSE)</f>
        <v>166.42000000000002</v>
      </c>
      <c r="AA84">
        <f>VLOOKUP(CONCATENATE($G84,"-",$F84,"-Couple Only"),'Look-ups'!$Y$4:$AG$35,8,FALSE)</f>
        <v>183.38</v>
      </c>
      <c r="AB84">
        <f>VLOOKUP(CONCATENATE($G84,"-",$F84,"-Couple Only"),'Look-ups'!$Y$4:$AG$35,9,FALSE)</f>
        <v>230.02</v>
      </c>
      <c r="AC84">
        <v>16</v>
      </c>
      <c r="AD84" t="s">
        <v>167</v>
      </c>
      <c r="AE84" s="260">
        <f>VLOOKUP($AD84,'Look-ups'!$A$122:$G$130,5,FALSE)</f>
        <v>0.16871165644171782</v>
      </c>
      <c r="AF84" s="260">
        <f>VLOOKUP($AD84,'Look-ups'!$A$122:$G$130,6,FALSE)</f>
        <v>0.2760736196319019</v>
      </c>
      <c r="AG84" s="260">
        <f>VLOOKUP($AD84,'Look-ups'!$A$122:$G$130,7,FALSE)</f>
        <v>0.5552147239263804</v>
      </c>
      <c r="AH84" s="264">
        <f>VLOOKUP($AC84,'Look-ups'!$A$50:$AO$118,'Look-ups'!$B$133*4,FALSE)*0.277778</f>
        <v>29.69152153489327</v>
      </c>
      <c r="AI84" s="264">
        <f>VLOOKUP($AC84,'Look-ups'!$A$50:$AO$118,'Look-ups'!$B$133*4+1,FALSE)*0.277778</f>
        <v>31.14186046510674</v>
      </c>
      <c r="AJ84" s="264">
        <f>AE84*$AH84/'Look-ups'!$B$141</f>
        <v>6.548112131276837</v>
      </c>
      <c r="AK84" s="264">
        <f>AF84*$AH84/'Look-ups'!$B$140</f>
        <v>11.228829893858286</v>
      </c>
      <c r="AL84" s="264">
        <f>AG84*$AH84/'Look-ups'!$B$137</f>
        <v>3.1400323679904654</v>
      </c>
      <c r="AM84" s="264">
        <f>AI84/'Look-ups'!$B$136</f>
        <v>6.556181150548787</v>
      </c>
      <c r="AN84" s="263">
        <f>AJ84*VLOOKUP($AD84,'Look-ups'!$A$123:$M$130,10,FALSE)</f>
        <v>1.7770848756270747</v>
      </c>
      <c r="AO84" s="263">
        <f>AK84*VLOOKUP($AD84,'Look-ups'!$A$123:$M$130,9,FALSE)</f>
        <v>2.07446793297487</v>
      </c>
      <c r="AP84" s="263">
        <f>(AL84+AM84)*VLOOKUP($AD84,'Look-ups'!$A$123:$M$130,8,FALSE)</f>
        <v>3.538796019978012</v>
      </c>
      <c r="AQ84" s="263">
        <f t="shared" si="2"/>
        <v>7.390348828579957</v>
      </c>
      <c r="AR84" s="265">
        <f>AJ84*VLOOKUP($AD84,'Look-ups'!$A$123:$M$130,11,FALSE)</f>
        <v>0.028288636488937625</v>
      </c>
      <c r="AS84" s="265">
        <f>AK84*VLOOKUP($AD84,'Look-ups'!$A$123:$M$130,12,FALSE)</f>
        <v>2.083096102640737</v>
      </c>
      <c r="AT84" s="265">
        <f>(AL84+AM84)*VLOOKUP($AD84,'Look-ups'!$A$123:$M$130,13,FALSE)</f>
        <v>0.8202996636684207</v>
      </c>
      <c r="AU84" s="265">
        <f t="shared" si="3"/>
        <v>2.931684402798095</v>
      </c>
    </row>
    <row r="85" spans="1:47" ht="15">
      <c r="A85">
        <v>4002</v>
      </c>
      <c r="B85" t="s">
        <v>372</v>
      </c>
      <c r="C85">
        <v>193.2878</v>
      </c>
      <c r="D85">
        <v>29446</v>
      </c>
      <c r="E85">
        <v>152.34277590204866</v>
      </c>
      <c r="F85" t="s">
        <v>173</v>
      </c>
      <c r="G85" t="s">
        <v>167</v>
      </c>
      <c r="H85">
        <f>VLOOKUP(CONCATENATE($G85,"-",$F85,"-",$H$2),'Look-ups'!$O$3:$S$34,5,FALSE)*VLOOKUP(CONCATENATE($F85,"-",$H$2,"-",H$3),'Look-ups'!$I$3:$M$24,5,FALSE)</f>
        <v>115.33333333333333</v>
      </c>
      <c r="I85">
        <f>VLOOKUP(CONCATENATE($G85,"-",$F85,"-",$H$2),'Look-ups'!$O$3:$S$34,5,FALSE)*VLOOKUP(CONCATENATE($F85,"-",$H$2,"-",I$3),'Look-ups'!$I$3:$M$24,5,FALSE)</f>
        <v>173</v>
      </c>
      <c r="J85">
        <f>VLOOKUP(CONCATENATE($G85,"-",$F85,"-",$H$2),'Look-ups'!$O$3:$S$34,5,FALSE)*VLOOKUP(CONCATENATE($F85,"-",$H$2,"-",J$3),'Look-ups'!$I$3:$M$24,5,FALSE)</f>
        <v>201.83333333333334</v>
      </c>
      <c r="K85">
        <f>VLOOKUP(CONCATENATE($G85,"-",$F85,"-",$H$2),'Look-ups'!$O$3:$S$34,5,FALSE)*VLOOKUP(CONCATENATE($F85,"-",$H$2,"-",K$3),'Look-ups'!$I$3:$M$24,5,FALSE)</f>
        <v>259.5</v>
      </c>
      <c r="L85">
        <f>VLOOKUP(CONCATENATE($G85,"-",$F85,"-",$H$2),'Look-ups'!$O$3:$S$34,5,FALSE)*VLOOKUP(CONCATENATE($F85,"-",$H$2,"-",L$3),'Look-ups'!$I$3:$M$24,5,FALSE)</f>
        <v>288.33333333333337</v>
      </c>
      <c r="M85">
        <f>VLOOKUP(CONCATENATE($G85,"-",$F85,"-",$H$2),'Look-ups'!$O$3:$S$34,5,FALSE)*VLOOKUP(CONCATENATE($F85,"-",$H$2,"-",M$3),'Look-ups'!$I$3:$M$24,5,FALSE)</f>
        <v>317.16666666666663</v>
      </c>
      <c r="N85">
        <f>VLOOKUP(CONCATENATE($G85,"-",$F85,"-",$N$2),'Look-ups'!$O$3:$S$34,5,FALSE)*VLOOKUP(CONCATENATE($F85,"-",$N$2,"-",N$3),'Look-ups'!$I$3:$M$24,5,FALSE)</f>
        <v>153.75</v>
      </c>
      <c r="O85">
        <f>VLOOKUP(CONCATENATE($G85,"-",$F85,"-",$N$2),'Look-ups'!$O$3:$S$34,5,FALSE)*VLOOKUP(CONCATENATE($F85,"-",$N$2,"-",O$3),'Look-ups'!$I$3:$M$24,5,FALSE)</f>
        <v>153.75</v>
      </c>
      <c r="P85">
        <f>VLOOKUP(CONCATENATE($G85,"-",$F85,"-",$N$2),'Look-ups'!$O$3:$S$34,5,FALSE)*VLOOKUP(CONCATENATE($F85,"-",$N$2,"-",P$3),'Look-ups'!$I$3:$M$24,5,FALSE)</f>
        <v>205</v>
      </c>
      <c r="Q85">
        <f>VLOOKUP(CONCATENATE($G85,"-",$F85,"-",$N$2),'Look-ups'!$O$3:$S$34,5,FALSE)*VLOOKUP(CONCATENATE($F85,"-",$N$2,"-",Q$3),'Look-ups'!$I$3:$M$24,5,FALSE)</f>
        <v>263.5714285714286</v>
      </c>
      <c r="R85">
        <f>VLOOKUP(CONCATENATE($G85,"-",$F85,"-",$N$2),'Look-ups'!$O$3:$S$34,5,FALSE)*VLOOKUP(CONCATENATE($F85,"-",$N$2,"-",R$3),'Look-ups'!$I$3:$M$24,5,FALSE)</f>
        <v>300.1785714285714</v>
      </c>
      <c r="S85" s="117">
        <f>VLOOKUP(CONCATENATE($G85,"-",$F85,"-Lone Person"),'Look-ups'!$Y$4:$AG$35,5,FALSE)</f>
        <v>92.22</v>
      </c>
      <c r="T85">
        <f>VLOOKUP(CONCATENATE($G85,"-",$F85,"-Lone Person"),'Look-ups'!$Y$4:$AG$35,6,FALSE)</f>
        <v>132.5</v>
      </c>
      <c r="U85">
        <f>VLOOKUP(CONCATENATE($G85,"-",$F85,"-Lone Person"),'Look-ups'!$Y$4:$AG$35,7,FALSE)</f>
        <v>159</v>
      </c>
      <c r="V85">
        <f>VLOOKUP(CONCATENATE($G85,"-",$F85,"-Lone Person"),'Look-ups'!$Y$4:$AG$35,8,FALSE)</f>
        <v>193.98000000000002</v>
      </c>
      <c r="W85">
        <f>VLOOKUP(CONCATENATE($G85,"-",$F85,"-Lone Person"),'Look-ups'!$Y$4:$AG$35,9,FALSE)</f>
        <v>184.44</v>
      </c>
      <c r="X85" s="117">
        <f>VLOOKUP(CONCATENATE($G85,"-",$F85,"-Couple Only"),'Look-ups'!$Y$4:$AG$35,5,FALSE)</f>
        <v>149.46</v>
      </c>
      <c r="Y85">
        <f>VLOOKUP(CONCATENATE($G85,"-",$F85,"-Couple Only"),'Look-ups'!$Y$4:$AG$35,6,FALSE)</f>
        <v>142.04000000000002</v>
      </c>
      <c r="Z85">
        <f>VLOOKUP(CONCATENATE($G85,"-",$F85,"-Couple Only"),'Look-ups'!$Y$4:$AG$35,7,FALSE)</f>
        <v>160.06</v>
      </c>
      <c r="AA85">
        <f>VLOOKUP(CONCATENATE($G85,"-",$F85,"-Couple Only"),'Look-ups'!$Y$4:$AG$35,8,FALSE)</f>
        <v>177.02</v>
      </c>
      <c r="AB85">
        <f>VLOOKUP(CONCATENATE($G85,"-",$F85,"-Couple Only"),'Look-ups'!$Y$4:$AG$35,9,FALSE)</f>
        <v>222.60000000000002</v>
      </c>
      <c r="AC85">
        <v>61</v>
      </c>
      <c r="AD85" t="s">
        <v>167</v>
      </c>
      <c r="AE85" s="260">
        <f>VLOOKUP($AD85,'Look-ups'!$A$122:$G$130,5,FALSE)</f>
        <v>0.16871165644171782</v>
      </c>
      <c r="AF85" s="260">
        <f>VLOOKUP($AD85,'Look-ups'!$A$122:$G$130,6,FALSE)</f>
        <v>0.2760736196319019</v>
      </c>
      <c r="AG85" s="260">
        <f>VLOOKUP($AD85,'Look-ups'!$A$122:$G$130,7,FALSE)</f>
        <v>0.5552147239263804</v>
      </c>
      <c r="AH85" s="264">
        <f>VLOOKUP($AC85,'Look-ups'!$A$50:$AO$118,'Look-ups'!$B$133*4,FALSE)*0.277778</f>
        <v>80.6032992865033</v>
      </c>
      <c r="AI85" s="264">
        <f>VLOOKUP($AC85,'Look-ups'!$A$50:$AO$118,'Look-ups'!$B$133*4+1,FALSE)*0.277778</f>
        <v>8.0078827134967</v>
      </c>
      <c r="AJ85" s="264">
        <f>AE85*$AH85/'Look-ups'!$B$141</f>
        <v>17.776099525873864</v>
      </c>
      <c r="AK85" s="264">
        <f>AF85*$AH85/'Look-ups'!$B$140</f>
        <v>30.482800805888306</v>
      </c>
      <c r="AL85" s="264">
        <f>AG85*$AH85/'Look-ups'!$B$137</f>
        <v>8.524216868745018</v>
      </c>
      <c r="AM85" s="264">
        <f>AI85/'Look-ups'!$B$136</f>
        <v>1.6858700449466737</v>
      </c>
      <c r="AN85" s="263">
        <f>AJ85*VLOOKUP($AD85,'Look-ups'!$A$123:$M$130,10,FALSE)</f>
        <v>4.8242358991052114</v>
      </c>
      <c r="AO85" s="263">
        <f>AK85*VLOOKUP($AD85,'Look-ups'!$A$123:$M$130,9,FALSE)</f>
        <v>5.631538938323674</v>
      </c>
      <c r="AP85" s="263">
        <f>(AL85+AM85)*VLOOKUP($AD85,'Look-ups'!$A$123:$M$130,8,FALSE)</f>
        <v>3.726342748611933</v>
      </c>
      <c r="AQ85" s="263">
        <f t="shared" si="2"/>
        <v>14.182117586040818</v>
      </c>
      <c r="AR85" s="265">
        <f>AJ85*VLOOKUP($AD85,'Look-ups'!$A$123:$M$130,11,FALSE)</f>
        <v>0.07679490020898094</v>
      </c>
      <c r="AS85" s="265">
        <f>AK85*VLOOKUP($AD85,'Look-ups'!$A$123:$M$130,12,FALSE)</f>
        <v>5.654961750827751</v>
      </c>
      <c r="AT85" s="265">
        <f>(AL85+AM85)*VLOOKUP($AD85,'Look-ups'!$A$123:$M$130,13,FALSE)</f>
        <v>0.863773352898317</v>
      </c>
      <c r="AU85" s="265">
        <f t="shared" si="3"/>
        <v>6.595530003935049</v>
      </c>
    </row>
    <row r="86" spans="1:47" ht="15">
      <c r="A86">
        <v>4003</v>
      </c>
      <c r="B86" t="s">
        <v>373</v>
      </c>
      <c r="C86">
        <v>97.5455999999999</v>
      </c>
      <c r="D86">
        <v>18243</v>
      </c>
      <c r="E86">
        <v>187.02022438736364</v>
      </c>
      <c r="F86" t="s">
        <v>173</v>
      </c>
      <c r="G86" t="s">
        <v>167</v>
      </c>
      <c r="H86">
        <f>VLOOKUP(CONCATENATE($G86,"-",$F86,"-",$H$2),'Look-ups'!$O$3:$S$34,5,FALSE)*VLOOKUP(CONCATENATE($F86,"-",$H$2,"-",H$3),'Look-ups'!$I$3:$M$24,5,FALSE)</f>
        <v>115.33333333333333</v>
      </c>
      <c r="I86">
        <f>VLOOKUP(CONCATENATE($G86,"-",$F86,"-",$H$2),'Look-ups'!$O$3:$S$34,5,FALSE)*VLOOKUP(CONCATENATE($F86,"-",$H$2,"-",I$3),'Look-ups'!$I$3:$M$24,5,FALSE)</f>
        <v>173</v>
      </c>
      <c r="J86">
        <f>VLOOKUP(CONCATENATE($G86,"-",$F86,"-",$H$2),'Look-ups'!$O$3:$S$34,5,FALSE)*VLOOKUP(CONCATENATE($F86,"-",$H$2,"-",J$3),'Look-ups'!$I$3:$M$24,5,FALSE)</f>
        <v>201.83333333333334</v>
      </c>
      <c r="K86">
        <f>VLOOKUP(CONCATENATE($G86,"-",$F86,"-",$H$2),'Look-ups'!$O$3:$S$34,5,FALSE)*VLOOKUP(CONCATENATE($F86,"-",$H$2,"-",K$3),'Look-ups'!$I$3:$M$24,5,FALSE)</f>
        <v>259.5</v>
      </c>
      <c r="L86">
        <f>VLOOKUP(CONCATENATE($G86,"-",$F86,"-",$H$2),'Look-ups'!$O$3:$S$34,5,FALSE)*VLOOKUP(CONCATENATE($F86,"-",$H$2,"-",L$3),'Look-ups'!$I$3:$M$24,5,FALSE)</f>
        <v>288.33333333333337</v>
      </c>
      <c r="M86">
        <f>VLOOKUP(CONCATENATE($G86,"-",$F86,"-",$H$2),'Look-ups'!$O$3:$S$34,5,FALSE)*VLOOKUP(CONCATENATE($F86,"-",$H$2,"-",M$3),'Look-ups'!$I$3:$M$24,5,FALSE)</f>
        <v>317.16666666666663</v>
      </c>
      <c r="N86">
        <f>VLOOKUP(CONCATENATE($G86,"-",$F86,"-",$N$2),'Look-ups'!$O$3:$S$34,5,FALSE)*VLOOKUP(CONCATENATE($F86,"-",$N$2,"-",N$3),'Look-ups'!$I$3:$M$24,5,FALSE)</f>
        <v>153.75</v>
      </c>
      <c r="O86">
        <f>VLOOKUP(CONCATENATE($G86,"-",$F86,"-",$N$2),'Look-ups'!$O$3:$S$34,5,FALSE)*VLOOKUP(CONCATENATE($F86,"-",$N$2,"-",O$3),'Look-ups'!$I$3:$M$24,5,FALSE)</f>
        <v>153.75</v>
      </c>
      <c r="P86">
        <f>VLOOKUP(CONCATENATE($G86,"-",$F86,"-",$N$2),'Look-ups'!$O$3:$S$34,5,FALSE)*VLOOKUP(CONCATENATE($F86,"-",$N$2,"-",P$3),'Look-ups'!$I$3:$M$24,5,FALSE)</f>
        <v>205</v>
      </c>
      <c r="Q86">
        <f>VLOOKUP(CONCATENATE($G86,"-",$F86,"-",$N$2),'Look-ups'!$O$3:$S$34,5,FALSE)*VLOOKUP(CONCATENATE($F86,"-",$N$2,"-",Q$3),'Look-ups'!$I$3:$M$24,5,FALSE)</f>
        <v>263.5714285714286</v>
      </c>
      <c r="R86">
        <f>VLOOKUP(CONCATENATE($G86,"-",$F86,"-",$N$2),'Look-ups'!$O$3:$S$34,5,FALSE)*VLOOKUP(CONCATENATE($F86,"-",$N$2,"-",R$3),'Look-ups'!$I$3:$M$24,5,FALSE)</f>
        <v>300.1785714285714</v>
      </c>
      <c r="S86" s="117">
        <f>VLOOKUP(CONCATENATE($G86,"-",$F86,"-Lone Person"),'Look-ups'!$Y$4:$AG$35,5,FALSE)</f>
        <v>92.22</v>
      </c>
      <c r="T86">
        <f>VLOOKUP(CONCATENATE($G86,"-",$F86,"-Lone Person"),'Look-ups'!$Y$4:$AG$35,6,FALSE)</f>
        <v>132.5</v>
      </c>
      <c r="U86">
        <f>VLOOKUP(CONCATENATE($G86,"-",$F86,"-Lone Person"),'Look-ups'!$Y$4:$AG$35,7,FALSE)</f>
        <v>159</v>
      </c>
      <c r="V86">
        <f>VLOOKUP(CONCATENATE($G86,"-",$F86,"-Lone Person"),'Look-ups'!$Y$4:$AG$35,8,FALSE)</f>
        <v>193.98000000000002</v>
      </c>
      <c r="W86">
        <f>VLOOKUP(CONCATENATE($G86,"-",$F86,"-Lone Person"),'Look-ups'!$Y$4:$AG$35,9,FALSE)</f>
        <v>184.44</v>
      </c>
      <c r="X86" s="117">
        <f>VLOOKUP(CONCATENATE($G86,"-",$F86,"-Couple Only"),'Look-ups'!$Y$4:$AG$35,5,FALSE)</f>
        <v>149.46</v>
      </c>
      <c r="Y86">
        <f>VLOOKUP(CONCATENATE($G86,"-",$F86,"-Couple Only"),'Look-ups'!$Y$4:$AG$35,6,FALSE)</f>
        <v>142.04000000000002</v>
      </c>
      <c r="Z86">
        <f>VLOOKUP(CONCATENATE($G86,"-",$F86,"-Couple Only"),'Look-ups'!$Y$4:$AG$35,7,FALSE)</f>
        <v>160.06</v>
      </c>
      <c r="AA86">
        <f>VLOOKUP(CONCATENATE($G86,"-",$F86,"-Couple Only"),'Look-ups'!$Y$4:$AG$35,8,FALSE)</f>
        <v>177.02</v>
      </c>
      <c r="AB86">
        <f>VLOOKUP(CONCATENATE($G86,"-",$F86,"-Couple Only"),'Look-ups'!$Y$4:$AG$35,9,FALSE)</f>
        <v>222.60000000000002</v>
      </c>
      <c r="AC86">
        <v>16</v>
      </c>
      <c r="AD86" t="s">
        <v>167</v>
      </c>
      <c r="AE86" s="260">
        <f>VLOOKUP($AD86,'Look-ups'!$A$122:$G$130,5,FALSE)</f>
        <v>0.16871165644171782</v>
      </c>
      <c r="AF86" s="260">
        <f>VLOOKUP($AD86,'Look-ups'!$A$122:$G$130,6,FALSE)</f>
        <v>0.2760736196319019</v>
      </c>
      <c r="AG86" s="260">
        <f>VLOOKUP($AD86,'Look-ups'!$A$122:$G$130,7,FALSE)</f>
        <v>0.5552147239263804</v>
      </c>
      <c r="AH86" s="264">
        <f>VLOOKUP($AC86,'Look-ups'!$A$50:$AO$118,'Look-ups'!$B$133*4,FALSE)*0.277778</f>
        <v>29.69152153489327</v>
      </c>
      <c r="AI86" s="264">
        <f>VLOOKUP($AC86,'Look-ups'!$A$50:$AO$118,'Look-ups'!$B$133*4+1,FALSE)*0.277778</f>
        <v>31.14186046510674</v>
      </c>
      <c r="AJ86" s="264">
        <f>AE86*$AH86/'Look-ups'!$B$141</f>
        <v>6.548112131276837</v>
      </c>
      <c r="AK86" s="264">
        <f>AF86*$AH86/'Look-ups'!$B$140</f>
        <v>11.228829893858286</v>
      </c>
      <c r="AL86" s="264">
        <f>AG86*$AH86/'Look-ups'!$B$137</f>
        <v>3.1400323679904654</v>
      </c>
      <c r="AM86" s="264">
        <f>AI86/'Look-ups'!$B$136</f>
        <v>6.556181150548787</v>
      </c>
      <c r="AN86" s="263">
        <f>AJ86*VLOOKUP($AD86,'Look-ups'!$A$123:$M$130,10,FALSE)</f>
        <v>1.7770848756270747</v>
      </c>
      <c r="AO86" s="263">
        <f>AK86*VLOOKUP($AD86,'Look-ups'!$A$123:$M$130,9,FALSE)</f>
        <v>2.07446793297487</v>
      </c>
      <c r="AP86" s="263">
        <f>(AL86+AM86)*VLOOKUP($AD86,'Look-ups'!$A$123:$M$130,8,FALSE)</f>
        <v>3.538796019978012</v>
      </c>
      <c r="AQ86" s="263">
        <f t="shared" si="2"/>
        <v>7.390348828579957</v>
      </c>
      <c r="AR86" s="265">
        <f>AJ86*VLOOKUP($AD86,'Look-ups'!$A$123:$M$130,11,FALSE)</f>
        <v>0.028288636488937625</v>
      </c>
      <c r="AS86" s="265">
        <f>AK86*VLOOKUP($AD86,'Look-ups'!$A$123:$M$130,12,FALSE)</f>
        <v>2.083096102640737</v>
      </c>
      <c r="AT86" s="265">
        <f>(AL86+AM86)*VLOOKUP($AD86,'Look-ups'!$A$123:$M$130,13,FALSE)</f>
        <v>0.8202996636684207</v>
      </c>
      <c r="AU86" s="265">
        <f t="shared" si="3"/>
        <v>2.931684402798095</v>
      </c>
    </row>
    <row r="87" spans="1:47" ht="15">
      <c r="A87">
        <v>4004</v>
      </c>
      <c r="B87" t="s">
        <v>374</v>
      </c>
      <c r="C87">
        <v>253.9025</v>
      </c>
      <c r="D87">
        <v>13515</v>
      </c>
      <c r="E87">
        <v>53.229093845078324</v>
      </c>
      <c r="F87" t="s">
        <v>173</v>
      </c>
      <c r="G87" t="s">
        <v>167</v>
      </c>
      <c r="H87">
        <f>VLOOKUP(CONCATENATE($G87,"-",$F87,"-",$H$2),'Look-ups'!$O$3:$S$34,5,FALSE)*VLOOKUP(CONCATENATE($F87,"-",$H$2,"-",H$3),'Look-ups'!$I$3:$M$24,5,FALSE)</f>
        <v>115.33333333333333</v>
      </c>
      <c r="I87">
        <f>VLOOKUP(CONCATENATE($G87,"-",$F87,"-",$H$2),'Look-ups'!$O$3:$S$34,5,FALSE)*VLOOKUP(CONCATENATE($F87,"-",$H$2,"-",I$3),'Look-ups'!$I$3:$M$24,5,FALSE)</f>
        <v>173</v>
      </c>
      <c r="J87">
        <f>VLOOKUP(CONCATENATE($G87,"-",$F87,"-",$H$2),'Look-ups'!$O$3:$S$34,5,FALSE)*VLOOKUP(CONCATENATE($F87,"-",$H$2,"-",J$3),'Look-ups'!$I$3:$M$24,5,FALSE)</f>
        <v>201.83333333333334</v>
      </c>
      <c r="K87">
        <f>VLOOKUP(CONCATENATE($G87,"-",$F87,"-",$H$2),'Look-ups'!$O$3:$S$34,5,FALSE)*VLOOKUP(CONCATENATE($F87,"-",$H$2,"-",K$3),'Look-ups'!$I$3:$M$24,5,FALSE)</f>
        <v>259.5</v>
      </c>
      <c r="L87">
        <f>VLOOKUP(CONCATENATE($G87,"-",$F87,"-",$H$2),'Look-ups'!$O$3:$S$34,5,FALSE)*VLOOKUP(CONCATENATE($F87,"-",$H$2,"-",L$3),'Look-ups'!$I$3:$M$24,5,FALSE)</f>
        <v>288.33333333333337</v>
      </c>
      <c r="M87">
        <f>VLOOKUP(CONCATENATE($G87,"-",$F87,"-",$H$2),'Look-ups'!$O$3:$S$34,5,FALSE)*VLOOKUP(CONCATENATE($F87,"-",$H$2,"-",M$3),'Look-ups'!$I$3:$M$24,5,FALSE)</f>
        <v>317.16666666666663</v>
      </c>
      <c r="N87">
        <f>VLOOKUP(CONCATENATE($G87,"-",$F87,"-",$N$2),'Look-ups'!$O$3:$S$34,5,FALSE)*VLOOKUP(CONCATENATE($F87,"-",$N$2,"-",N$3),'Look-ups'!$I$3:$M$24,5,FALSE)</f>
        <v>153.75</v>
      </c>
      <c r="O87">
        <f>VLOOKUP(CONCATENATE($G87,"-",$F87,"-",$N$2),'Look-ups'!$O$3:$S$34,5,FALSE)*VLOOKUP(CONCATENATE($F87,"-",$N$2,"-",O$3),'Look-ups'!$I$3:$M$24,5,FALSE)</f>
        <v>153.75</v>
      </c>
      <c r="P87">
        <f>VLOOKUP(CONCATENATE($G87,"-",$F87,"-",$N$2),'Look-ups'!$O$3:$S$34,5,FALSE)*VLOOKUP(CONCATENATE($F87,"-",$N$2,"-",P$3),'Look-ups'!$I$3:$M$24,5,FALSE)</f>
        <v>205</v>
      </c>
      <c r="Q87">
        <f>VLOOKUP(CONCATENATE($G87,"-",$F87,"-",$N$2),'Look-ups'!$O$3:$S$34,5,FALSE)*VLOOKUP(CONCATENATE($F87,"-",$N$2,"-",Q$3),'Look-ups'!$I$3:$M$24,5,FALSE)</f>
        <v>263.5714285714286</v>
      </c>
      <c r="R87">
        <f>VLOOKUP(CONCATENATE($G87,"-",$F87,"-",$N$2),'Look-ups'!$O$3:$S$34,5,FALSE)*VLOOKUP(CONCATENATE($F87,"-",$N$2,"-",R$3),'Look-ups'!$I$3:$M$24,5,FALSE)</f>
        <v>300.1785714285714</v>
      </c>
      <c r="S87" s="117">
        <f>VLOOKUP(CONCATENATE($G87,"-",$F87,"-Lone Person"),'Look-ups'!$Y$4:$AG$35,5,FALSE)</f>
        <v>92.22</v>
      </c>
      <c r="T87">
        <f>VLOOKUP(CONCATENATE($G87,"-",$F87,"-Lone Person"),'Look-ups'!$Y$4:$AG$35,6,FALSE)</f>
        <v>132.5</v>
      </c>
      <c r="U87">
        <f>VLOOKUP(CONCATENATE($G87,"-",$F87,"-Lone Person"),'Look-ups'!$Y$4:$AG$35,7,FALSE)</f>
        <v>159</v>
      </c>
      <c r="V87">
        <f>VLOOKUP(CONCATENATE($G87,"-",$F87,"-Lone Person"),'Look-ups'!$Y$4:$AG$35,8,FALSE)</f>
        <v>193.98000000000002</v>
      </c>
      <c r="W87">
        <f>VLOOKUP(CONCATENATE($G87,"-",$F87,"-Lone Person"),'Look-ups'!$Y$4:$AG$35,9,FALSE)</f>
        <v>184.44</v>
      </c>
      <c r="X87" s="117">
        <f>VLOOKUP(CONCATENATE($G87,"-",$F87,"-Couple Only"),'Look-ups'!$Y$4:$AG$35,5,FALSE)</f>
        <v>149.46</v>
      </c>
      <c r="Y87">
        <f>VLOOKUP(CONCATENATE($G87,"-",$F87,"-Couple Only"),'Look-ups'!$Y$4:$AG$35,6,FALSE)</f>
        <v>142.04000000000002</v>
      </c>
      <c r="Z87">
        <f>VLOOKUP(CONCATENATE($G87,"-",$F87,"-Couple Only"),'Look-ups'!$Y$4:$AG$35,7,FALSE)</f>
        <v>160.06</v>
      </c>
      <c r="AA87">
        <f>VLOOKUP(CONCATENATE($G87,"-",$F87,"-Couple Only"),'Look-ups'!$Y$4:$AG$35,8,FALSE)</f>
        <v>177.02</v>
      </c>
      <c r="AB87">
        <f>VLOOKUP(CONCATENATE($G87,"-",$F87,"-Couple Only"),'Look-ups'!$Y$4:$AG$35,9,FALSE)</f>
        <v>222.60000000000002</v>
      </c>
      <c r="AC87">
        <v>45</v>
      </c>
      <c r="AD87" t="s">
        <v>167</v>
      </c>
      <c r="AE87" s="260">
        <f>VLOOKUP($AD87,'Look-ups'!$A$122:$G$130,5,FALSE)</f>
        <v>0.16871165644171782</v>
      </c>
      <c r="AF87" s="260">
        <f>VLOOKUP($AD87,'Look-ups'!$A$122:$G$130,6,FALSE)</f>
        <v>0.2760736196319019</v>
      </c>
      <c r="AG87" s="260">
        <f>VLOOKUP($AD87,'Look-ups'!$A$122:$G$130,7,FALSE)</f>
        <v>0.5552147239263804</v>
      </c>
      <c r="AH87" s="264">
        <f>VLOOKUP($AC87,'Look-ups'!$A$50:$AO$118,'Look-ups'!$B$133*4,FALSE)*0.277778</f>
        <v>30.416652729523147</v>
      </c>
      <c r="AI87" s="264">
        <f>VLOOKUP($AC87,'Look-ups'!$A$50:$AO$118,'Look-ups'!$B$133*4+1,FALSE)*0.277778</f>
        <v>18.750053270476855</v>
      </c>
      <c r="AJ87" s="264">
        <f>AE87*$AH87/'Look-ups'!$B$141</f>
        <v>6.708031196614834</v>
      </c>
      <c r="AK87" s="264">
        <f>AF87*$AH87/'Look-ups'!$B$140</f>
        <v>11.503062213871267</v>
      </c>
      <c r="AL87" s="264">
        <f>AG87*$AH87/'Look-ups'!$B$137</f>
        <v>3.2167187519974814</v>
      </c>
      <c r="AM87" s="264">
        <f>AI87/'Look-ups'!$B$136</f>
        <v>3.947379635889864</v>
      </c>
      <c r="AN87" s="263">
        <f>AJ87*VLOOKUP($AD87,'Look-ups'!$A$123:$M$130,10,FALSE)</f>
        <v>1.8204851330813032</v>
      </c>
      <c r="AO87" s="263">
        <f>AK87*VLOOKUP($AD87,'Look-ups'!$A$123:$M$130,9,FALSE)</f>
        <v>2.1251309280892046</v>
      </c>
      <c r="AP87" s="263">
        <f>(AL87+AM87)*VLOOKUP($AD87,'Look-ups'!$A$123:$M$130,8,FALSE)</f>
        <v>2.6146580635124033</v>
      </c>
      <c r="AQ87" s="263">
        <f t="shared" si="2"/>
        <v>6.560274124682911</v>
      </c>
      <c r="AR87" s="265">
        <f>AJ87*VLOOKUP($AD87,'Look-ups'!$A$123:$M$130,11,FALSE)</f>
        <v>0.028979506195549554</v>
      </c>
      <c r="AS87" s="265">
        <f>AK87*VLOOKUP($AD87,'Look-ups'!$A$123:$M$130,12,FALSE)</f>
        <v>2.1339698163256884</v>
      </c>
      <c r="AT87" s="265">
        <f>(AL87+AM87)*VLOOKUP($AD87,'Look-ups'!$A$123:$M$130,13,FALSE)</f>
        <v>0.6060827236152694</v>
      </c>
      <c r="AU87" s="265">
        <f t="shared" si="3"/>
        <v>2.769032046136507</v>
      </c>
    </row>
    <row r="88" spans="1:47" ht="15">
      <c r="A88">
        <v>4005</v>
      </c>
      <c r="B88" t="s">
        <v>375</v>
      </c>
      <c r="C88">
        <v>136.283099999999</v>
      </c>
      <c r="D88">
        <v>16307</v>
      </c>
      <c r="E88">
        <v>119.65533510758209</v>
      </c>
      <c r="F88" t="s">
        <v>173</v>
      </c>
      <c r="G88" t="s">
        <v>167</v>
      </c>
      <c r="H88">
        <f>VLOOKUP(CONCATENATE($G88,"-",$F88,"-",$H$2),'Look-ups'!$O$3:$S$34,5,FALSE)*VLOOKUP(CONCATENATE($F88,"-",$H$2,"-",H$3),'Look-ups'!$I$3:$M$24,5,FALSE)</f>
        <v>115.33333333333333</v>
      </c>
      <c r="I88">
        <f>VLOOKUP(CONCATENATE($G88,"-",$F88,"-",$H$2),'Look-ups'!$O$3:$S$34,5,FALSE)*VLOOKUP(CONCATENATE($F88,"-",$H$2,"-",I$3),'Look-ups'!$I$3:$M$24,5,FALSE)</f>
        <v>173</v>
      </c>
      <c r="J88">
        <f>VLOOKUP(CONCATENATE($G88,"-",$F88,"-",$H$2),'Look-ups'!$O$3:$S$34,5,FALSE)*VLOOKUP(CONCATENATE($F88,"-",$H$2,"-",J$3),'Look-ups'!$I$3:$M$24,5,FALSE)</f>
        <v>201.83333333333334</v>
      </c>
      <c r="K88">
        <f>VLOOKUP(CONCATENATE($G88,"-",$F88,"-",$H$2),'Look-ups'!$O$3:$S$34,5,FALSE)*VLOOKUP(CONCATENATE($F88,"-",$H$2,"-",K$3),'Look-ups'!$I$3:$M$24,5,FALSE)</f>
        <v>259.5</v>
      </c>
      <c r="L88">
        <f>VLOOKUP(CONCATENATE($G88,"-",$F88,"-",$H$2),'Look-ups'!$O$3:$S$34,5,FALSE)*VLOOKUP(CONCATENATE($F88,"-",$H$2,"-",L$3),'Look-ups'!$I$3:$M$24,5,FALSE)</f>
        <v>288.33333333333337</v>
      </c>
      <c r="M88">
        <f>VLOOKUP(CONCATENATE($G88,"-",$F88,"-",$H$2),'Look-ups'!$O$3:$S$34,5,FALSE)*VLOOKUP(CONCATENATE($F88,"-",$H$2,"-",M$3),'Look-ups'!$I$3:$M$24,5,FALSE)</f>
        <v>317.16666666666663</v>
      </c>
      <c r="N88">
        <f>VLOOKUP(CONCATENATE($G88,"-",$F88,"-",$N$2),'Look-ups'!$O$3:$S$34,5,FALSE)*VLOOKUP(CONCATENATE($F88,"-",$N$2,"-",N$3),'Look-ups'!$I$3:$M$24,5,FALSE)</f>
        <v>153.75</v>
      </c>
      <c r="O88">
        <f>VLOOKUP(CONCATENATE($G88,"-",$F88,"-",$N$2),'Look-ups'!$O$3:$S$34,5,FALSE)*VLOOKUP(CONCATENATE($F88,"-",$N$2,"-",O$3),'Look-ups'!$I$3:$M$24,5,FALSE)</f>
        <v>153.75</v>
      </c>
      <c r="P88">
        <f>VLOOKUP(CONCATENATE($G88,"-",$F88,"-",$N$2),'Look-ups'!$O$3:$S$34,5,FALSE)*VLOOKUP(CONCATENATE($F88,"-",$N$2,"-",P$3),'Look-ups'!$I$3:$M$24,5,FALSE)</f>
        <v>205</v>
      </c>
      <c r="Q88">
        <f>VLOOKUP(CONCATENATE($G88,"-",$F88,"-",$N$2),'Look-ups'!$O$3:$S$34,5,FALSE)*VLOOKUP(CONCATENATE($F88,"-",$N$2,"-",Q$3),'Look-ups'!$I$3:$M$24,5,FALSE)</f>
        <v>263.5714285714286</v>
      </c>
      <c r="R88">
        <f>VLOOKUP(CONCATENATE($G88,"-",$F88,"-",$N$2),'Look-ups'!$O$3:$S$34,5,FALSE)*VLOOKUP(CONCATENATE($F88,"-",$N$2,"-",R$3),'Look-ups'!$I$3:$M$24,5,FALSE)</f>
        <v>300.1785714285714</v>
      </c>
      <c r="S88" s="117">
        <f>VLOOKUP(CONCATENATE($G88,"-",$F88,"-Lone Person"),'Look-ups'!$Y$4:$AG$35,5,FALSE)</f>
        <v>92.22</v>
      </c>
      <c r="T88">
        <f>VLOOKUP(CONCATENATE($G88,"-",$F88,"-Lone Person"),'Look-ups'!$Y$4:$AG$35,6,FALSE)</f>
        <v>132.5</v>
      </c>
      <c r="U88">
        <f>VLOOKUP(CONCATENATE($G88,"-",$F88,"-Lone Person"),'Look-ups'!$Y$4:$AG$35,7,FALSE)</f>
        <v>159</v>
      </c>
      <c r="V88">
        <f>VLOOKUP(CONCATENATE($G88,"-",$F88,"-Lone Person"),'Look-ups'!$Y$4:$AG$35,8,FALSE)</f>
        <v>193.98000000000002</v>
      </c>
      <c r="W88">
        <f>VLOOKUP(CONCATENATE($G88,"-",$F88,"-Lone Person"),'Look-ups'!$Y$4:$AG$35,9,FALSE)</f>
        <v>184.44</v>
      </c>
      <c r="X88" s="117">
        <f>VLOOKUP(CONCATENATE($G88,"-",$F88,"-Couple Only"),'Look-ups'!$Y$4:$AG$35,5,FALSE)</f>
        <v>149.46</v>
      </c>
      <c r="Y88">
        <f>VLOOKUP(CONCATENATE($G88,"-",$F88,"-Couple Only"),'Look-ups'!$Y$4:$AG$35,6,FALSE)</f>
        <v>142.04000000000002</v>
      </c>
      <c r="Z88">
        <f>VLOOKUP(CONCATENATE($G88,"-",$F88,"-Couple Only"),'Look-ups'!$Y$4:$AG$35,7,FALSE)</f>
        <v>160.06</v>
      </c>
      <c r="AA88">
        <f>VLOOKUP(CONCATENATE($G88,"-",$F88,"-Couple Only"),'Look-ups'!$Y$4:$AG$35,8,FALSE)</f>
        <v>177.02</v>
      </c>
      <c r="AB88">
        <f>VLOOKUP(CONCATENATE($G88,"-",$F88,"-Couple Only"),'Look-ups'!$Y$4:$AG$35,9,FALSE)</f>
        <v>222.60000000000002</v>
      </c>
      <c r="AC88">
        <v>16</v>
      </c>
      <c r="AD88" t="s">
        <v>167</v>
      </c>
      <c r="AE88" s="260">
        <f>VLOOKUP($AD88,'Look-ups'!$A$122:$G$130,5,FALSE)</f>
        <v>0.16871165644171782</v>
      </c>
      <c r="AF88" s="260">
        <f>VLOOKUP($AD88,'Look-ups'!$A$122:$G$130,6,FALSE)</f>
        <v>0.2760736196319019</v>
      </c>
      <c r="AG88" s="260">
        <f>VLOOKUP($AD88,'Look-ups'!$A$122:$G$130,7,FALSE)</f>
        <v>0.5552147239263804</v>
      </c>
      <c r="AH88" s="264">
        <f>VLOOKUP($AC88,'Look-ups'!$A$50:$AO$118,'Look-ups'!$B$133*4,FALSE)*0.277778</f>
        <v>29.69152153489327</v>
      </c>
      <c r="AI88" s="264">
        <f>VLOOKUP($AC88,'Look-ups'!$A$50:$AO$118,'Look-ups'!$B$133*4+1,FALSE)*0.277778</f>
        <v>31.14186046510674</v>
      </c>
      <c r="AJ88" s="264">
        <f>AE88*$AH88/'Look-ups'!$B$141</f>
        <v>6.548112131276837</v>
      </c>
      <c r="AK88" s="264">
        <f>AF88*$AH88/'Look-ups'!$B$140</f>
        <v>11.228829893858286</v>
      </c>
      <c r="AL88" s="264">
        <f>AG88*$AH88/'Look-ups'!$B$137</f>
        <v>3.1400323679904654</v>
      </c>
      <c r="AM88" s="264">
        <f>AI88/'Look-ups'!$B$136</f>
        <v>6.556181150548787</v>
      </c>
      <c r="AN88" s="263">
        <f>AJ88*VLOOKUP($AD88,'Look-ups'!$A$123:$M$130,10,FALSE)</f>
        <v>1.7770848756270747</v>
      </c>
      <c r="AO88" s="263">
        <f>AK88*VLOOKUP($AD88,'Look-ups'!$A$123:$M$130,9,FALSE)</f>
        <v>2.07446793297487</v>
      </c>
      <c r="AP88" s="263">
        <f>(AL88+AM88)*VLOOKUP($AD88,'Look-ups'!$A$123:$M$130,8,FALSE)</f>
        <v>3.538796019978012</v>
      </c>
      <c r="AQ88" s="263">
        <f t="shared" si="2"/>
        <v>7.390348828579957</v>
      </c>
      <c r="AR88" s="265">
        <f>AJ88*VLOOKUP($AD88,'Look-ups'!$A$123:$M$130,11,FALSE)</f>
        <v>0.028288636488937625</v>
      </c>
      <c r="AS88" s="265">
        <f>AK88*VLOOKUP($AD88,'Look-ups'!$A$123:$M$130,12,FALSE)</f>
        <v>2.083096102640737</v>
      </c>
      <c r="AT88" s="265">
        <f>(AL88+AM88)*VLOOKUP($AD88,'Look-ups'!$A$123:$M$130,13,FALSE)</f>
        <v>0.8202996636684207</v>
      </c>
      <c r="AU88" s="265">
        <f t="shared" si="3"/>
        <v>2.931684402798095</v>
      </c>
    </row>
    <row r="89" spans="1:47" ht="15">
      <c r="A89">
        <v>4006</v>
      </c>
      <c r="B89" t="s">
        <v>376</v>
      </c>
      <c r="C89">
        <v>75.2928</v>
      </c>
      <c r="D89">
        <v>13896</v>
      </c>
      <c r="E89">
        <v>184.55947979089635</v>
      </c>
      <c r="F89" t="s">
        <v>173</v>
      </c>
      <c r="G89" t="s">
        <v>167</v>
      </c>
      <c r="H89">
        <f>VLOOKUP(CONCATENATE($G89,"-",$F89,"-",$H$2),'Look-ups'!$O$3:$S$34,5,FALSE)*VLOOKUP(CONCATENATE($F89,"-",$H$2,"-",H$3),'Look-ups'!$I$3:$M$24,5,FALSE)</f>
        <v>115.33333333333333</v>
      </c>
      <c r="I89">
        <f>VLOOKUP(CONCATENATE($G89,"-",$F89,"-",$H$2),'Look-ups'!$O$3:$S$34,5,FALSE)*VLOOKUP(CONCATENATE($F89,"-",$H$2,"-",I$3),'Look-ups'!$I$3:$M$24,5,FALSE)</f>
        <v>173</v>
      </c>
      <c r="J89">
        <f>VLOOKUP(CONCATENATE($G89,"-",$F89,"-",$H$2),'Look-ups'!$O$3:$S$34,5,FALSE)*VLOOKUP(CONCATENATE($F89,"-",$H$2,"-",J$3),'Look-ups'!$I$3:$M$24,5,FALSE)</f>
        <v>201.83333333333334</v>
      </c>
      <c r="K89">
        <f>VLOOKUP(CONCATENATE($G89,"-",$F89,"-",$H$2),'Look-ups'!$O$3:$S$34,5,FALSE)*VLOOKUP(CONCATENATE($F89,"-",$H$2,"-",K$3),'Look-ups'!$I$3:$M$24,5,FALSE)</f>
        <v>259.5</v>
      </c>
      <c r="L89">
        <f>VLOOKUP(CONCATENATE($G89,"-",$F89,"-",$H$2),'Look-ups'!$O$3:$S$34,5,FALSE)*VLOOKUP(CONCATENATE($F89,"-",$H$2,"-",L$3),'Look-ups'!$I$3:$M$24,5,FALSE)</f>
        <v>288.33333333333337</v>
      </c>
      <c r="M89">
        <f>VLOOKUP(CONCATENATE($G89,"-",$F89,"-",$H$2),'Look-ups'!$O$3:$S$34,5,FALSE)*VLOOKUP(CONCATENATE($F89,"-",$H$2,"-",M$3),'Look-ups'!$I$3:$M$24,5,FALSE)</f>
        <v>317.16666666666663</v>
      </c>
      <c r="N89">
        <f>VLOOKUP(CONCATENATE($G89,"-",$F89,"-",$N$2),'Look-ups'!$O$3:$S$34,5,FALSE)*VLOOKUP(CONCATENATE($F89,"-",$N$2,"-",N$3),'Look-ups'!$I$3:$M$24,5,FALSE)</f>
        <v>153.75</v>
      </c>
      <c r="O89">
        <f>VLOOKUP(CONCATENATE($G89,"-",$F89,"-",$N$2),'Look-ups'!$O$3:$S$34,5,FALSE)*VLOOKUP(CONCATENATE($F89,"-",$N$2,"-",O$3),'Look-ups'!$I$3:$M$24,5,FALSE)</f>
        <v>153.75</v>
      </c>
      <c r="P89">
        <f>VLOOKUP(CONCATENATE($G89,"-",$F89,"-",$N$2),'Look-ups'!$O$3:$S$34,5,FALSE)*VLOOKUP(CONCATENATE($F89,"-",$N$2,"-",P$3),'Look-ups'!$I$3:$M$24,5,FALSE)</f>
        <v>205</v>
      </c>
      <c r="Q89">
        <f>VLOOKUP(CONCATENATE($G89,"-",$F89,"-",$N$2),'Look-ups'!$O$3:$S$34,5,FALSE)*VLOOKUP(CONCATENATE($F89,"-",$N$2,"-",Q$3),'Look-ups'!$I$3:$M$24,5,FALSE)</f>
        <v>263.5714285714286</v>
      </c>
      <c r="R89">
        <f>VLOOKUP(CONCATENATE($G89,"-",$F89,"-",$N$2),'Look-ups'!$O$3:$S$34,5,FALSE)*VLOOKUP(CONCATENATE($F89,"-",$N$2,"-",R$3),'Look-ups'!$I$3:$M$24,5,FALSE)</f>
        <v>300.1785714285714</v>
      </c>
      <c r="S89" s="117">
        <f>VLOOKUP(CONCATENATE($G89,"-",$F89,"-Lone Person"),'Look-ups'!$Y$4:$AG$35,5,FALSE)</f>
        <v>92.22</v>
      </c>
      <c r="T89">
        <f>VLOOKUP(CONCATENATE($G89,"-",$F89,"-Lone Person"),'Look-ups'!$Y$4:$AG$35,6,FALSE)</f>
        <v>132.5</v>
      </c>
      <c r="U89">
        <f>VLOOKUP(CONCATENATE($G89,"-",$F89,"-Lone Person"),'Look-ups'!$Y$4:$AG$35,7,FALSE)</f>
        <v>159</v>
      </c>
      <c r="V89">
        <f>VLOOKUP(CONCATENATE($G89,"-",$F89,"-Lone Person"),'Look-ups'!$Y$4:$AG$35,8,FALSE)</f>
        <v>193.98000000000002</v>
      </c>
      <c r="W89">
        <f>VLOOKUP(CONCATENATE($G89,"-",$F89,"-Lone Person"),'Look-ups'!$Y$4:$AG$35,9,FALSE)</f>
        <v>184.44</v>
      </c>
      <c r="X89" s="117">
        <f>VLOOKUP(CONCATENATE($G89,"-",$F89,"-Couple Only"),'Look-ups'!$Y$4:$AG$35,5,FALSE)</f>
        <v>149.46</v>
      </c>
      <c r="Y89">
        <f>VLOOKUP(CONCATENATE($G89,"-",$F89,"-Couple Only"),'Look-ups'!$Y$4:$AG$35,6,FALSE)</f>
        <v>142.04000000000002</v>
      </c>
      <c r="Z89">
        <f>VLOOKUP(CONCATENATE($G89,"-",$F89,"-Couple Only"),'Look-ups'!$Y$4:$AG$35,7,FALSE)</f>
        <v>160.06</v>
      </c>
      <c r="AA89">
        <f>VLOOKUP(CONCATENATE($G89,"-",$F89,"-Couple Only"),'Look-ups'!$Y$4:$AG$35,8,FALSE)</f>
        <v>177.02</v>
      </c>
      <c r="AB89">
        <f>VLOOKUP(CONCATENATE($G89,"-",$F89,"-Couple Only"),'Look-ups'!$Y$4:$AG$35,9,FALSE)</f>
        <v>222.60000000000002</v>
      </c>
      <c r="AC89">
        <v>27</v>
      </c>
      <c r="AD89" t="s">
        <v>167</v>
      </c>
      <c r="AE89" s="260">
        <f>VLOOKUP($AD89,'Look-ups'!$A$122:$G$130,5,FALSE)</f>
        <v>0.16871165644171782</v>
      </c>
      <c r="AF89" s="260">
        <f>VLOOKUP($AD89,'Look-ups'!$A$122:$G$130,6,FALSE)</f>
        <v>0.2760736196319019</v>
      </c>
      <c r="AG89" s="260">
        <f>VLOOKUP($AD89,'Look-ups'!$A$122:$G$130,7,FALSE)</f>
        <v>0.5552147239263804</v>
      </c>
      <c r="AH89" s="264">
        <f>VLOOKUP($AC89,'Look-ups'!$A$50:$AO$118,'Look-ups'!$B$133*4,FALSE)*0.277778</f>
        <v>41.49085090441251</v>
      </c>
      <c r="AI89" s="264">
        <f>VLOOKUP($AC89,'Look-ups'!$A$50:$AO$118,'Look-ups'!$B$133*4+1,FALSE)*0.277778</f>
        <v>31.564763095587505</v>
      </c>
      <c r="AJ89" s="264">
        <f>AE89*$AH89/'Look-ups'!$B$141</f>
        <v>9.150313965045465</v>
      </c>
      <c r="AK89" s="264">
        <f>AF89*$AH89/'Look-ups'!$B$140</f>
        <v>15.69113615176539</v>
      </c>
      <c r="AL89" s="264">
        <f>AG89*$AH89/'Look-ups'!$B$137</f>
        <v>4.387872634355048</v>
      </c>
      <c r="AM89" s="264">
        <f>AI89/'Look-ups'!$B$136</f>
        <v>6.6452132832815805</v>
      </c>
      <c r="AN89" s="263">
        <f>AJ89*VLOOKUP($AD89,'Look-ups'!$A$123:$M$130,10,FALSE)</f>
        <v>2.4832935399581717</v>
      </c>
      <c r="AO89" s="263">
        <f>AK89*VLOOKUP($AD89,'Look-ups'!$A$123:$M$130,9,FALSE)</f>
        <v>2.8988558101306663</v>
      </c>
      <c r="AP89" s="263">
        <f>(AL89+AM89)*VLOOKUP($AD89,'Look-ups'!$A$123:$M$130,8,FALSE)</f>
        <v>4.026710061484905</v>
      </c>
      <c r="AQ89" s="263">
        <f t="shared" si="2"/>
        <v>9.408859411573744</v>
      </c>
      <c r="AR89" s="265">
        <f>AJ89*VLOOKUP($AD89,'Look-ups'!$A$123:$M$130,11,FALSE)</f>
        <v>0.0395304631819655</v>
      </c>
      <c r="AS89" s="265">
        <f>AK89*VLOOKUP($AD89,'Look-ups'!$A$123:$M$130,12,FALSE)</f>
        <v>2.9109127907998364</v>
      </c>
      <c r="AT89" s="265">
        <f>(AL89+AM89)*VLOOKUP($AD89,'Look-ups'!$A$123:$M$130,13,FALSE)</f>
        <v>0.9333990686320588</v>
      </c>
      <c r="AU89" s="265">
        <f t="shared" si="3"/>
        <v>3.8838423226138605</v>
      </c>
    </row>
    <row r="90" spans="1:47" ht="15">
      <c r="A90">
        <v>4007</v>
      </c>
      <c r="B90" t="s">
        <v>377</v>
      </c>
      <c r="C90">
        <v>309.1333</v>
      </c>
      <c r="D90">
        <v>28363</v>
      </c>
      <c r="E90">
        <v>91.75006380742546</v>
      </c>
      <c r="F90" t="s">
        <v>173</v>
      </c>
      <c r="G90" t="s">
        <v>167</v>
      </c>
      <c r="H90">
        <f>VLOOKUP(CONCATENATE($G90,"-",$F90,"-",$H$2),'Look-ups'!$O$3:$S$34,5,FALSE)*VLOOKUP(CONCATENATE($F90,"-",$H$2,"-",H$3),'Look-ups'!$I$3:$M$24,5,FALSE)</f>
        <v>115.33333333333333</v>
      </c>
      <c r="I90">
        <f>VLOOKUP(CONCATENATE($G90,"-",$F90,"-",$H$2),'Look-ups'!$O$3:$S$34,5,FALSE)*VLOOKUP(CONCATENATE($F90,"-",$H$2,"-",I$3),'Look-ups'!$I$3:$M$24,5,FALSE)</f>
        <v>173</v>
      </c>
      <c r="J90">
        <f>VLOOKUP(CONCATENATE($G90,"-",$F90,"-",$H$2),'Look-ups'!$O$3:$S$34,5,FALSE)*VLOOKUP(CONCATENATE($F90,"-",$H$2,"-",J$3),'Look-ups'!$I$3:$M$24,5,FALSE)</f>
        <v>201.83333333333334</v>
      </c>
      <c r="K90">
        <f>VLOOKUP(CONCATENATE($G90,"-",$F90,"-",$H$2),'Look-ups'!$O$3:$S$34,5,FALSE)*VLOOKUP(CONCATENATE($F90,"-",$H$2,"-",K$3),'Look-ups'!$I$3:$M$24,5,FALSE)</f>
        <v>259.5</v>
      </c>
      <c r="L90">
        <f>VLOOKUP(CONCATENATE($G90,"-",$F90,"-",$H$2),'Look-ups'!$O$3:$S$34,5,FALSE)*VLOOKUP(CONCATENATE($F90,"-",$H$2,"-",L$3),'Look-ups'!$I$3:$M$24,5,FALSE)</f>
        <v>288.33333333333337</v>
      </c>
      <c r="M90">
        <f>VLOOKUP(CONCATENATE($G90,"-",$F90,"-",$H$2),'Look-ups'!$O$3:$S$34,5,FALSE)*VLOOKUP(CONCATENATE($F90,"-",$H$2,"-",M$3),'Look-ups'!$I$3:$M$24,5,FALSE)</f>
        <v>317.16666666666663</v>
      </c>
      <c r="N90">
        <f>VLOOKUP(CONCATENATE($G90,"-",$F90,"-",$N$2),'Look-ups'!$O$3:$S$34,5,FALSE)*VLOOKUP(CONCATENATE($F90,"-",$N$2,"-",N$3),'Look-ups'!$I$3:$M$24,5,FALSE)</f>
        <v>153.75</v>
      </c>
      <c r="O90">
        <f>VLOOKUP(CONCATENATE($G90,"-",$F90,"-",$N$2),'Look-ups'!$O$3:$S$34,5,FALSE)*VLOOKUP(CONCATENATE($F90,"-",$N$2,"-",O$3),'Look-ups'!$I$3:$M$24,5,FALSE)</f>
        <v>153.75</v>
      </c>
      <c r="P90">
        <f>VLOOKUP(CONCATENATE($G90,"-",$F90,"-",$N$2),'Look-ups'!$O$3:$S$34,5,FALSE)*VLOOKUP(CONCATENATE($F90,"-",$N$2,"-",P$3),'Look-ups'!$I$3:$M$24,5,FALSE)</f>
        <v>205</v>
      </c>
      <c r="Q90">
        <f>VLOOKUP(CONCATENATE($G90,"-",$F90,"-",$N$2),'Look-ups'!$O$3:$S$34,5,FALSE)*VLOOKUP(CONCATENATE($F90,"-",$N$2,"-",Q$3),'Look-ups'!$I$3:$M$24,5,FALSE)</f>
        <v>263.5714285714286</v>
      </c>
      <c r="R90">
        <f>VLOOKUP(CONCATENATE($G90,"-",$F90,"-",$N$2),'Look-ups'!$O$3:$S$34,5,FALSE)*VLOOKUP(CONCATENATE($F90,"-",$N$2,"-",R$3),'Look-ups'!$I$3:$M$24,5,FALSE)</f>
        <v>300.1785714285714</v>
      </c>
      <c r="S90" s="117">
        <f>VLOOKUP(CONCATENATE($G90,"-",$F90,"-Lone Person"),'Look-ups'!$Y$4:$AG$35,5,FALSE)</f>
        <v>92.22</v>
      </c>
      <c r="T90">
        <f>VLOOKUP(CONCATENATE($G90,"-",$F90,"-Lone Person"),'Look-ups'!$Y$4:$AG$35,6,FALSE)</f>
        <v>132.5</v>
      </c>
      <c r="U90">
        <f>VLOOKUP(CONCATENATE($G90,"-",$F90,"-Lone Person"),'Look-ups'!$Y$4:$AG$35,7,FALSE)</f>
        <v>159</v>
      </c>
      <c r="V90">
        <f>VLOOKUP(CONCATENATE($G90,"-",$F90,"-Lone Person"),'Look-ups'!$Y$4:$AG$35,8,FALSE)</f>
        <v>193.98000000000002</v>
      </c>
      <c r="W90">
        <f>VLOOKUP(CONCATENATE($G90,"-",$F90,"-Lone Person"),'Look-ups'!$Y$4:$AG$35,9,FALSE)</f>
        <v>184.44</v>
      </c>
      <c r="X90" s="117">
        <f>VLOOKUP(CONCATENATE($G90,"-",$F90,"-Couple Only"),'Look-ups'!$Y$4:$AG$35,5,FALSE)</f>
        <v>149.46</v>
      </c>
      <c r="Y90">
        <f>VLOOKUP(CONCATENATE($G90,"-",$F90,"-Couple Only"),'Look-ups'!$Y$4:$AG$35,6,FALSE)</f>
        <v>142.04000000000002</v>
      </c>
      <c r="Z90">
        <f>VLOOKUP(CONCATENATE($G90,"-",$F90,"-Couple Only"),'Look-ups'!$Y$4:$AG$35,7,FALSE)</f>
        <v>160.06</v>
      </c>
      <c r="AA90">
        <f>VLOOKUP(CONCATENATE($G90,"-",$F90,"-Couple Only"),'Look-ups'!$Y$4:$AG$35,8,FALSE)</f>
        <v>177.02</v>
      </c>
      <c r="AB90">
        <f>VLOOKUP(CONCATENATE($G90,"-",$F90,"-Couple Only"),'Look-ups'!$Y$4:$AG$35,9,FALSE)</f>
        <v>222.60000000000002</v>
      </c>
      <c r="AC90">
        <v>16</v>
      </c>
      <c r="AD90" t="s">
        <v>167</v>
      </c>
      <c r="AE90" s="260">
        <f>VLOOKUP($AD90,'Look-ups'!$A$122:$G$130,5,FALSE)</f>
        <v>0.16871165644171782</v>
      </c>
      <c r="AF90" s="260">
        <f>VLOOKUP($AD90,'Look-ups'!$A$122:$G$130,6,FALSE)</f>
        <v>0.2760736196319019</v>
      </c>
      <c r="AG90" s="260">
        <f>VLOOKUP($AD90,'Look-ups'!$A$122:$G$130,7,FALSE)</f>
        <v>0.5552147239263804</v>
      </c>
      <c r="AH90" s="264">
        <f>VLOOKUP($AC90,'Look-ups'!$A$50:$AO$118,'Look-ups'!$B$133*4,FALSE)*0.277778</f>
        <v>29.69152153489327</v>
      </c>
      <c r="AI90" s="264">
        <f>VLOOKUP($AC90,'Look-ups'!$A$50:$AO$118,'Look-ups'!$B$133*4+1,FALSE)*0.277778</f>
        <v>31.14186046510674</v>
      </c>
      <c r="AJ90" s="264">
        <f>AE90*$AH90/'Look-ups'!$B$141</f>
        <v>6.548112131276837</v>
      </c>
      <c r="AK90" s="264">
        <f>AF90*$AH90/'Look-ups'!$B$140</f>
        <v>11.228829893858286</v>
      </c>
      <c r="AL90" s="264">
        <f>AG90*$AH90/'Look-ups'!$B$137</f>
        <v>3.1400323679904654</v>
      </c>
      <c r="AM90" s="264">
        <f>AI90/'Look-ups'!$B$136</f>
        <v>6.556181150548787</v>
      </c>
      <c r="AN90" s="263">
        <f>AJ90*VLOOKUP($AD90,'Look-ups'!$A$123:$M$130,10,FALSE)</f>
        <v>1.7770848756270747</v>
      </c>
      <c r="AO90" s="263">
        <f>AK90*VLOOKUP($AD90,'Look-ups'!$A$123:$M$130,9,FALSE)</f>
        <v>2.07446793297487</v>
      </c>
      <c r="AP90" s="263">
        <f>(AL90+AM90)*VLOOKUP($AD90,'Look-ups'!$A$123:$M$130,8,FALSE)</f>
        <v>3.538796019978012</v>
      </c>
      <c r="AQ90" s="263">
        <f t="shared" si="2"/>
        <v>7.390348828579957</v>
      </c>
      <c r="AR90" s="265">
        <f>AJ90*VLOOKUP($AD90,'Look-ups'!$A$123:$M$130,11,FALSE)</f>
        <v>0.028288636488937625</v>
      </c>
      <c r="AS90" s="265">
        <f>AK90*VLOOKUP($AD90,'Look-ups'!$A$123:$M$130,12,FALSE)</f>
        <v>2.083096102640737</v>
      </c>
      <c r="AT90" s="265">
        <f>(AL90+AM90)*VLOOKUP($AD90,'Look-ups'!$A$123:$M$130,13,FALSE)</f>
        <v>0.8202996636684207</v>
      </c>
      <c r="AU90" s="265">
        <f t="shared" si="3"/>
        <v>2.931684402798095</v>
      </c>
    </row>
    <row r="91" spans="1:47" ht="15">
      <c r="A91">
        <v>4008</v>
      </c>
      <c r="B91" t="s">
        <v>378</v>
      </c>
      <c r="C91">
        <v>40.8706</v>
      </c>
      <c r="D91">
        <v>21154</v>
      </c>
      <c r="E91">
        <v>517.5847675346092</v>
      </c>
      <c r="F91" t="s">
        <v>173</v>
      </c>
      <c r="G91" t="s">
        <v>167</v>
      </c>
      <c r="H91">
        <f>VLOOKUP(CONCATENATE($G91,"-",$F91,"-",$H$2),'Look-ups'!$O$3:$S$34,5,FALSE)*VLOOKUP(CONCATENATE($F91,"-",$H$2,"-",H$3),'Look-ups'!$I$3:$M$24,5,FALSE)</f>
        <v>115.33333333333333</v>
      </c>
      <c r="I91">
        <f>VLOOKUP(CONCATENATE($G91,"-",$F91,"-",$H$2),'Look-ups'!$O$3:$S$34,5,FALSE)*VLOOKUP(CONCATENATE($F91,"-",$H$2,"-",I$3),'Look-ups'!$I$3:$M$24,5,FALSE)</f>
        <v>173</v>
      </c>
      <c r="J91">
        <f>VLOOKUP(CONCATENATE($G91,"-",$F91,"-",$H$2),'Look-ups'!$O$3:$S$34,5,FALSE)*VLOOKUP(CONCATENATE($F91,"-",$H$2,"-",J$3),'Look-ups'!$I$3:$M$24,5,FALSE)</f>
        <v>201.83333333333334</v>
      </c>
      <c r="K91">
        <f>VLOOKUP(CONCATENATE($G91,"-",$F91,"-",$H$2),'Look-ups'!$O$3:$S$34,5,FALSE)*VLOOKUP(CONCATENATE($F91,"-",$H$2,"-",K$3),'Look-ups'!$I$3:$M$24,5,FALSE)</f>
        <v>259.5</v>
      </c>
      <c r="L91">
        <f>VLOOKUP(CONCATENATE($G91,"-",$F91,"-",$H$2),'Look-ups'!$O$3:$S$34,5,FALSE)*VLOOKUP(CONCATENATE($F91,"-",$H$2,"-",L$3),'Look-ups'!$I$3:$M$24,5,FALSE)</f>
        <v>288.33333333333337</v>
      </c>
      <c r="M91">
        <f>VLOOKUP(CONCATENATE($G91,"-",$F91,"-",$H$2),'Look-ups'!$O$3:$S$34,5,FALSE)*VLOOKUP(CONCATENATE($F91,"-",$H$2,"-",M$3),'Look-ups'!$I$3:$M$24,5,FALSE)</f>
        <v>317.16666666666663</v>
      </c>
      <c r="N91">
        <f>VLOOKUP(CONCATENATE($G91,"-",$F91,"-",$N$2),'Look-ups'!$O$3:$S$34,5,FALSE)*VLOOKUP(CONCATENATE($F91,"-",$N$2,"-",N$3),'Look-ups'!$I$3:$M$24,5,FALSE)</f>
        <v>153.75</v>
      </c>
      <c r="O91">
        <f>VLOOKUP(CONCATENATE($G91,"-",$F91,"-",$N$2),'Look-ups'!$O$3:$S$34,5,FALSE)*VLOOKUP(CONCATENATE($F91,"-",$N$2,"-",O$3),'Look-ups'!$I$3:$M$24,5,FALSE)</f>
        <v>153.75</v>
      </c>
      <c r="P91">
        <f>VLOOKUP(CONCATENATE($G91,"-",$F91,"-",$N$2),'Look-ups'!$O$3:$S$34,5,FALSE)*VLOOKUP(CONCATENATE($F91,"-",$N$2,"-",P$3),'Look-ups'!$I$3:$M$24,5,FALSE)</f>
        <v>205</v>
      </c>
      <c r="Q91">
        <f>VLOOKUP(CONCATENATE($G91,"-",$F91,"-",$N$2),'Look-ups'!$O$3:$S$34,5,FALSE)*VLOOKUP(CONCATENATE($F91,"-",$N$2,"-",Q$3),'Look-ups'!$I$3:$M$24,5,FALSE)</f>
        <v>263.5714285714286</v>
      </c>
      <c r="R91">
        <f>VLOOKUP(CONCATENATE($G91,"-",$F91,"-",$N$2),'Look-ups'!$O$3:$S$34,5,FALSE)*VLOOKUP(CONCATENATE($F91,"-",$N$2,"-",R$3),'Look-ups'!$I$3:$M$24,5,FALSE)</f>
        <v>300.1785714285714</v>
      </c>
      <c r="S91" s="117">
        <f>VLOOKUP(CONCATENATE($G91,"-",$F91,"-Lone Person"),'Look-ups'!$Y$4:$AG$35,5,FALSE)</f>
        <v>92.22</v>
      </c>
      <c r="T91">
        <f>VLOOKUP(CONCATENATE($G91,"-",$F91,"-Lone Person"),'Look-ups'!$Y$4:$AG$35,6,FALSE)</f>
        <v>132.5</v>
      </c>
      <c r="U91">
        <f>VLOOKUP(CONCATENATE($G91,"-",$F91,"-Lone Person"),'Look-ups'!$Y$4:$AG$35,7,FALSE)</f>
        <v>159</v>
      </c>
      <c r="V91">
        <f>VLOOKUP(CONCATENATE($G91,"-",$F91,"-Lone Person"),'Look-ups'!$Y$4:$AG$35,8,FALSE)</f>
        <v>193.98000000000002</v>
      </c>
      <c r="W91">
        <f>VLOOKUP(CONCATENATE($G91,"-",$F91,"-Lone Person"),'Look-ups'!$Y$4:$AG$35,9,FALSE)</f>
        <v>184.44</v>
      </c>
      <c r="X91" s="117">
        <f>VLOOKUP(CONCATENATE($G91,"-",$F91,"-Couple Only"),'Look-ups'!$Y$4:$AG$35,5,FALSE)</f>
        <v>149.46</v>
      </c>
      <c r="Y91">
        <f>VLOOKUP(CONCATENATE($G91,"-",$F91,"-Couple Only"),'Look-ups'!$Y$4:$AG$35,6,FALSE)</f>
        <v>142.04000000000002</v>
      </c>
      <c r="Z91">
        <f>VLOOKUP(CONCATENATE($G91,"-",$F91,"-Couple Only"),'Look-ups'!$Y$4:$AG$35,7,FALSE)</f>
        <v>160.06</v>
      </c>
      <c r="AA91">
        <f>VLOOKUP(CONCATENATE($G91,"-",$F91,"-Couple Only"),'Look-ups'!$Y$4:$AG$35,8,FALSE)</f>
        <v>177.02</v>
      </c>
      <c r="AB91">
        <f>VLOOKUP(CONCATENATE($G91,"-",$F91,"-Couple Only"),'Look-ups'!$Y$4:$AG$35,9,FALSE)</f>
        <v>222.60000000000002</v>
      </c>
      <c r="AC91">
        <v>16</v>
      </c>
      <c r="AD91" t="s">
        <v>167</v>
      </c>
      <c r="AE91" s="260">
        <f>VLOOKUP($AD91,'Look-ups'!$A$122:$G$130,5,FALSE)</f>
        <v>0.16871165644171782</v>
      </c>
      <c r="AF91" s="260">
        <f>VLOOKUP($AD91,'Look-ups'!$A$122:$G$130,6,FALSE)</f>
        <v>0.2760736196319019</v>
      </c>
      <c r="AG91" s="260">
        <f>VLOOKUP($AD91,'Look-ups'!$A$122:$G$130,7,FALSE)</f>
        <v>0.5552147239263804</v>
      </c>
      <c r="AH91" s="264">
        <f>VLOOKUP($AC91,'Look-ups'!$A$50:$AO$118,'Look-ups'!$B$133*4,FALSE)*0.277778</f>
        <v>29.69152153489327</v>
      </c>
      <c r="AI91" s="264">
        <f>VLOOKUP($AC91,'Look-ups'!$A$50:$AO$118,'Look-ups'!$B$133*4+1,FALSE)*0.277778</f>
        <v>31.14186046510674</v>
      </c>
      <c r="AJ91" s="264">
        <f>AE91*$AH91/'Look-ups'!$B$141</f>
        <v>6.548112131276837</v>
      </c>
      <c r="AK91" s="264">
        <f>AF91*$AH91/'Look-ups'!$B$140</f>
        <v>11.228829893858286</v>
      </c>
      <c r="AL91" s="264">
        <f>AG91*$AH91/'Look-ups'!$B$137</f>
        <v>3.1400323679904654</v>
      </c>
      <c r="AM91" s="264">
        <f>AI91/'Look-ups'!$B$136</f>
        <v>6.556181150548787</v>
      </c>
      <c r="AN91" s="263">
        <f>AJ91*VLOOKUP($AD91,'Look-ups'!$A$123:$M$130,10,FALSE)</f>
        <v>1.7770848756270747</v>
      </c>
      <c r="AO91" s="263">
        <f>AK91*VLOOKUP($AD91,'Look-ups'!$A$123:$M$130,9,FALSE)</f>
        <v>2.07446793297487</v>
      </c>
      <c r="AP91" s="263">
        <f>(AL91+AM91)*VLOOKUP($AD91,'Look-ups'!$A$123:$M$130,8,FALSE)</f>
        <v>3.538796019978012</v>
      </c>
      <c r="AQ91" s="263">
        <f t="shared" si="2"/>
        <v>7.390348828579957</v>
      </c>
      <c r="AR91" s="265">
        <f>AJ91*VLOOKUP($AD91,'Look-ups'!$A$123:$M$130,11,FALSE)</f>
        <v>0.028288636488937625</v>
      </c>
      <c r="AS91" s="265">
        <f>AK91*VLOOKUP($AD91,'Look-ups'!$A$123:$M$130,12,FALSE)</f>
        <v>2.083096102640737</v>
      </c>
      <c r="AT91" s="265">
        <f>(AL91+AM91)*VLOOKUP($AD91,'Look-ups'!$A$123:$M$130,13,FALSE)</f>
        <v>0.8202996636684207</v>
      </c>
      <c r="AU91" s="265">
        <f t="shared" si="3"/>
        <v>2.931684402798095</v>
      </c>
    </row>
    <row r="92" spans="1:47" ht="15">
      <c r="A92">
        <v>5000</v>
      </c>
      <c r="B92" t="s">
        <v>379</v>
      </c>
      <c r="C92">
        <v>2519666.14729999</v>
      </c>
      <c r="D92">
        <v>283092</v>
      </c>
      <c r="E92">
        <v>0.11235297989908472</v>
      </c>
      <c r="F92" t="s">
        <v>173</v>
      </c>
      <c r="G92" t="s">
        <v>170</v>
      </c>
      <c r="H92">
        <f>VLOOKUP(CONCATENATE($G92,"-",$F92,"-",$H$2),'Look-ups'!$O$3:$S$34,5,FALSE)*VLOOKUP(CONCATENATE($F92,"-",$H$2,"-",H$3),'Look-ups'!$I$3:$M$24,5,FALSE)</f>
        <v>254</v>
      </c>
      <c r="I92">
        <f>VLOOKUP(CONCATENATE($G92,"-",$F92,"-",$H$2),'Look-ups'!$O$3:$S$34,5,FALSE)*VLOOKUP(CONCATENATE($F92,"-",$H$2,"-",I$3),'Look-ups'!$I$3:$M$24,5,FALSE)</f>
        <v>381</v>
      </c>
      <c r="J92">
        <f>VLOOKUP(CONCATENATE($G92,"-",$F92,"-",$H$2),'Look-ups'!$O$3:$S$34,5,FALSE)*VLOOKUP(CONCATENATE($F92,"-",$H$2,"-",J$3),'Look-ups'!$I$3:$M$24,5,FALSE)</f>
        <v>444.5</v>
      </c>
      <c r="K92">
        <f>VLOOKUP(CONCATENATE($G92,"-",$F92,"-",$H$2),'Look-ups'!$O$3:$S$34,5,FALSE)*VLOOKUP(CONCATENATE($F92,"-",$H$2,"-",K$3),'Look-ups'!$I$3:$M$24,5,FALSE)</f>
        <v>571.5</v>
      </c>
      <c r="L92">
        <f>VLOOKUP(CONCATENATE($G92,"-",$F92,"-",$H$2),'Look-ups'!$O$3:$S$34,5,FALSE)*VLOOKUP(CONCATENATE($F92,"-",$H$2,"-",L$3),'Look-ups'!$I$3:$M$24,5,FALSE)</f>
        <v>635</v>
      </c>
      <c r="M92">
        <f>VLOOKUP(CONCATENATE($G92,"-",$F92,"-",$H$2),'Look-ups'!$O$3:$S$34,5,FALSE)*VLOOKUP(CONCATENATE($F92,"-",$H$2,"-",M$3),'Look-ups'!$I$3:$M$24,5,FALSE)</f>
        <v>698.5</v>
      </c>
      <c r="N92">
        <f>VLOOKUP(CONCATENATE($G92,"-",$F92,"-",$N$2),'Look-ups'!$O$3:$S$34,5,FALSE)*VLOOKUP(CONCATENATE($F92,"-",$N$2,"-",N$3),'Look-ups'!$I$3:$M$24,5,FALSE)</f>
        <v>255.75</v>
      </c>
      <c r="O92">
        <f>VLOOKUP(CONCATENATE($G92,"-",$F92,"-",$N$2),'Look-ups'!$O$3:$S$34,5,FALSE)*VLOOKUP(CONCATENATE($F92,"-",$N$2,"-",O$3),'Look-ups'!$I$3:$M$24,5,FALSE)</f>
        <v>255.75</v>
      </c>
      <c r="P92">
        <f>VLOOKUP(CONCATENATE($G92,"-",$F92,"-",$N$2),'Look-ups'!$O$3:$S$34,5,FALSE)*VLOOKUP(CONCATENATE($F92,"-",$N$2,"-",P$3),'Look-ups'!$I$3:$M$24,5,FALSE)</f>
        <v>341</v>
      </c>
      <c r="Q92">
        <f>VLOOKUP(CONCATENATE($G92,"-",$F92,"-",$N$2),'Look-ups'!$O$3:$S$34,5,FALSE)*VLOOKUP(CONCATENATE($F92,"-",$N$2,"-",Q$3),'Look-ups'!$I$3:$M$24,5,FALSE)</f>
        <v>438.42857142857144</v>
      </c>
      <c r="R92">
        <f>VLOOKUP(CONCATENATE($G92,"-",$F92,"-",$N$2),'Look-ups'!$O$3:$S$34,5,FALSE)*VLOOKUP(CONCATENATE($F92,"-",$N$2,"-",R$3),'Look-ups'!$I$3:$M$24,5,FALSE)</f>
        <v>499.32142857142856</v>
      </c>
      <c r="S92" s="117">
        <f>VLOOKUP(CONCATENATE($G92,"-",$F92,"-Lone Person"),'Look-ups'!$Y$4:$AG$35,5,FALSE)</f>
        <v>107.06</v>
      </c>
      <c r="T92">
        <f>VLOOKUP(CONCATENATE($G92,"-",$F92,"-Lone Person"),'Look-ups'!$Y$4:$AG$35,6,FALSE)</f>
        <v>153.70000000000002</v>
      </c>
      <c r="U92">
        <f>VLOOKUP(CONCATENATE($G92,"-",$F92,"-Lone Person"),'Look-ups'!$Y$4:$AG$35,7,FALSE)</f>
        <v>184.44</v>
      </c>
      <c r="V92">
        <f>VLOOKUP(CONCATENATE($G92,"-",$F92,"-Lone Person"),'Look-ups'!$Y$4:$AG$35,8,FALSE)</f>
        <v>225.78</v>
      </c>
      <c r="W92">
        <f>VLOOKUP(CONCATENATE($G92,"-",$F92,"-Lone Person"),'Look-ups'!$Y$4:$AG$35,9,FALSE)</f>
        <v>214.12</v>
      </c>
      <c r="X92" s="117">
        <f>VLOOKUP(CONCATENATE($G92,"-",$F92,"-Couple Only"),'Look-ups'!$Y$4:$AG$35,5,FALSE)</f>
        <v>173.84</v>
      </c>
      <c r="Y92">
        <f>VLOOKUP(CONCATENATE($G92,"-",$F92,"-Couple Only"),'Look-ups'!$Y$4:$AG$35,6,FALSE)</f>
        <v>164.3</v>
      </c>
      <c r="Z92">
        <f>VLOOKUP(CONCATENATE($G92,"-",$F92,"-Couple Only"),'Look-ups'!$Y$4:$AG$35,7,FALSE)</f>
        <v>185.5</v>
      </c>
      <c r="AA92">
        <f>VLOOKUP(CONCATENATE($G92,"-",$F92,"-Couple Only"),'Look-ups'!$Y$4:$AG$35,8,FALSE)</f>
        <v>205.64000000000001</v>
      </c>
      <c r="AB92">
        <f>VLOOKUP(CONCATENATE($G92,"-",$F92,"-Couple Only"),'Look-ups'!$Y$4:$AG$35,9,FALSE)</f>
        <v>258.64</v>
      </c>
      <c r="AC92">
        <v>55</v>
      </c>
      <c r="AD92" t="s">
        <v>170</v>
      </c>
      <c r="AE92" s="260">
        <f>VLOOKUP($AD92,'Look-ups'!$A$122:$G$130,5,FALSE)</f>
        <v>0.12385321100917432</v>
      </c>
      <c r="AF92" s="260">
        <f>VLOOKUP($AD92,'Look-ups'!$A$122:$G$130,6,FALSE)</f>
        <v>0.28440366972477066</v>
      </c>
      <c r="AG92" s="260">
        <f>VLOOKUP($AD92,'Look-ups'!$A$122:$G$130,7,FALSE)</f>
        <v>0.591743119266055</v>
      </c>
      <c r="AH92" s="264">
        <f>VLOOKUP($AC92,'Look-ups'!$A$50:$AO$118,'Look-ups'!$B$133*4,FALSE)*0.277778</f>
        <v>25.749122030847595</v>
      </c>
      <c r="AI92" s="264">
        <f>VLOOKUP($AC92,'Look-ups'!$A$50:$AO$118,'Look-ups'!$B$133*4+1,FALSE)*0.277778</f>
        <v>9.806461969152407</v>
      </c>
      <c r="AJ92" s="264">
        <f>AE92*$AH92/'Look-ups'!$B$141</f>
        <v>4.168773129656924</v>
      </c>
      <c r="AK92" s="264">
        <f>AF92*$AH92/'Look-ups'!$B$140</f>
        <v>10.031705202416433</v>
      </c>
      <c r="AL92" s="264">
        <f>AG92*$AH92/'Look-ups'!$B$137</f>
        <v>2.902260150265915</v>
      </c>
      <c r="AM92" s="264">
        <f>AI92/'Look-ups'!$B$136</f>
        <v>2.0645183092952437</v>
      </c>
      <c r="AN92" s="263">
        <f>AJ92*VLOOKUP($AD92,'Look-ups'!$A$123:$M$130,10,FALSE)</f>
        <v>1.1313587076874485</v>
      </c>
      <c r="AO92" s="263">
        <f>AK92*VLOOKUP($AD92,'Look-ups'!$A$123:$M$130,9,FALSE)</f>
        <v>5.82087688029173</v>
      </c>
      <c r="AP92" s="263">
        <f>(AL92+AM92)*VLOOKUP($AD92,'Look-ups'!$A$123:$M$130,8,FALSE)</f>
        <v>1.4930384388363822</v>
      </c>
      <c r="AQ92" s="263">
        <f t="shared" si="2"/>
        <v>8.44527402681556</v>
      </c>
      <c r="AR92" s="265">
        <f>AJ92*VLOOKUP($AD92,'Look-ups'!$A$123:$M$130,11,FALSE)</f>
        <v>0.018009604189035203</v>
      </c>
      <c r="AS92" s="265">
        <f>AK92*VLOOKUP($AD92,'Look-ups'!$A$123:$M$130,12,FALSE)</f>
        <v>1.8610136770728258</v>
      </c>
      <c r="AT92" s="265">
        <f>(AL92+AM92)*VLOOKUP($AD92,'Look-ups'!$A$123:$M$130,13,FALSE)</f>
        <v>1.003289248831354</v>
      </c>
      <c r="AU92" s="265">
        <f t="shared" si="3"/>
        <v>2.8823125300932153</v>
      </c>
    </row>
    <row r="93" spans="1:47" ht="15">
      <c r="A93">
        <v>5001</v>
      </c>
      <c r="B93" t="s">
        <v>380</v>
      </c>
      <c r="C93">
        <v>299.3989</v>
      </c>
      <c r="D93">
        <v>35053</v>
      </c>
      <c r="E93">
        <v>117.07791845594622</v>
      </c>
      <c r="F93" t="s">
        <v>173</v>
      </c>
      <c r="G93" t="s">
        <v>170</v>
      </c>
      <c r="H93">
        <f>VLOOKUP(CONCATENATE($G93,"-",$F93,"-",$H$2),'Look-ups'!$O$3:$S$34,5,FALSE)*VLOOKUP(CONCATENATE($F93,"-",$H$2,"-",H$3),'Look-ups'!$I$3:$M$24,5,FALSE)</f>
        <v>254</v>
      </c>
      <c r="I93">
        <f>VLOOKUP(CONCATENATE($G93,"-",$F93,"-",$H$2),'Look-ups'!$O$3:$S$34,5,FALSE)*VLOOKUP(CONCATENATE($F93,"-",$H$2,"-",I$3),'Look-ups'!$I$3:$M$24,5,FALSE)</f>
        <v>381</v>
      </c>
      <c r="J93">
        <f>VLOOKUP(CONCATENATE($G93,"-",$F93,"-",$H$2),'Look-ups'!$O$3:$S$34,5,FALSE)*VLOOKUP(CONCATENATE($F93,"-",$H$2,"-",J$3),'Look-ups'!$I$3:$M$24,5,FALSE)</f>
        <v>444.5</v>
      </c>
      <c r="K93">
        <f>VLOOKUP(CONCATENATE($G93,"-",$F93,"-",$H$2),'Look-ups'!$O$3:$S$34,5,FALSE)*VLOOKUP(CONCATENATE($F93,"-",$H$2,"-",K$3),'Look-ups'!$I$3:$M$24,5,FALSE)</f>
        <v>571.5</v>
      </c>
      <c r="L93">
        <f>VLOOKUP(CONCATENATE($G93,"-",$F93,"-",$H$2),'Look-ups'!$O$3:$S$34,5,FALSE)*VLOOKUP(CONCATENATE($F93,"-",$H$2,"-",L$3),'Look-ups'!$I$3:$M$24,5,FALSE)</f>
        <v>635</v>
      </c>
      <c r="M93">
        <f>VLOOKUP(CONCATENATE($G93,"-",$F93,"-",$H$2),'Look-ups'!$O$3:$S$34,5,FALSE)*VLOOKUP(CONCATENATE($F93,"-",$H$2,"-",M$3),'Look-ups'!$I$3:$M$24,5,FALSE)</f>
        <v>698.5</v>
      </c>
      <c r="N93">
        <f>VLOOKUP(CONCATENATE($G93,"-",$F93,"-",$N$2),'Look-ups'!$O$3:$S$34,5,FALSE)*VLOOKUP(CONCATENATE($F93,"-",$N$2,"-",N$3),'Look-ups'!$I$3:$M$24,5,FALSE)</f>
        <v>255.75</v>
      </c>
      <c r="O93">
        <f>VLOOKUP(CONCATENATE($G93,"-",$F93,"-",$N$2),'Look-ups'!$O$3:$S$34,5,FALSE)*VLOOKUP(CONCATENATE($F93,"-",$N$2,"-",O$3),'Look-ups'!$I$3:$M$24,5,FALSE)</f>
        <v>255.75</v>
      </c>
      <c r="P93">
        <f>VLOOKUP(CONCATENATE($G93,"-",$F93,"-",$N$2),'Look-ups'!$O$3:$S$34,5,FALSE)*VLOOKUP(CONCATENATE($F93,"-",$N$2,"-",P$3),'Look-ups'!$I$3:$M$24,5,FALSE)</f>
        <v>341</v>
      </c>
      <c r="Q93">
        <f>VLOOKUP(CONCATENATE($G93,"-",$F93,"-",$N$2),'Look-ups'!$O$3:$S$34,5,FALSE)*VLOOKUP(CONCATENATE($F93,"-",$N$2,"-",Q$3),'Look-ups'!$I$3:$M$24,5,FALSE)</f>
        <v>438.42857142857144</v>
      </c>
      <c r="R93">
        <f>VLOOKUP(CONCATENATE($G93,"-",$F93,"-",$N$2),'Look-ups'!$O$3:$S$34,5,FALSE)*VLOOKUP(CONCATENATE($F93,"-",$N$2,"-",R$3),'Look-ups'!$I$3:$M$24,5,FALSE)</f>
        <v>499.32142857142856</v>
      </c>
      <c r="S93" s="117">
        <f>VLOOKUP(CONCATENATE($G93,"-",$F93,"-Lone Person"),'Look-ups'!$Y$4:$AG$35,5,FALSE)</f>
        <v>107.06</v>
      </c>
      <c r="T93">
        <f>VLOOKUP(CONCATENATE($G93,"-",$F93,"-Lone Person"),'Look-ups'!$Y$4:$AG$35,6,FALSE)</f>
        <v>153.70000000000002</v>
      </c>
      <c r="U93">
        <f>VLOOKUP(CONCATENATE($G93,"-",$F93,"-Lone Person"),'Look-ups'!$Y$4:$AG$35,7,FALSE)</f>
        <v>184.44</v>
      </c>
      <c r="V93">
        <f>VLOOKUP(CONCATENATE($G93,"-",$F93,"-Lone Person"),'Look-ups'!$Y$4:$AG$35,8,FALSE)</f>
        <v>225.78</v>
      </c>
      <c r="W93">
        <f>VLOOKUP(CONCATENATE($G93,"-",$F93,"-Lone Person"),'Look-ups'!$Y$4:$AG$35,9,FALSE)</f>
        <v>214.12</v>
      </c>
      <c r="X93" s="117">
        <f>VLOOKUP(CONCATENATE($G93,"-",$F93,"-Couple Only"),'Look-ups'!$Y$4:$AG$35,5,FALSE)</f>
        <v>173.84</v>
      </c>
      <c r="Y93">
        <f>VLOOKUP(CONCATENATE($G93,"-",$F93,"-Couple Only"),'Look-ups'!$Y$4:$AG$35,6,FALSE)</f>
        <v>164.3</v>
      </c>
      <c r="Z93">
        <f>VLOOKUP(CONCATENATE($G93,"-",$F93,"-Couple Only"),'Look-ups'!$Y$4:$AG$35,7,FALSE)</f>
        <v>185.5</v>
      </c>
      <c r="AA93">
        <f>VLOOKUP(CONCATENATE($G93,"-",$F93,"-Couple Only"),'Look-ups'!$Y$4:$AG$35,8,FALSE)</f>
        <v>205.64000000000001</v>
      </c>
      <c r="AB93">
        <f>VLOOKUP(CONCATENATE($G93,"-",$F93,"-Couple Only"),'Look-ups'!$Y$4:$AG$35,9,FALSE)</f>
        <v>258.64</v>
      </c>
      <c r="AC93">
        <v>58</v>
      </c>
      <c r="AD93" t="s">
        <v>170</v>
      </c>
      <c r="AE93" s="260">
        <f>VLOOKUP($AD93,'Look-ups'!$A$122:$G$130,5,FALSE)</f>
        <v>0.12385321100917432</v>
      </c>
      <c r="AF93" s="260">
        <f>VLOOKUP($AD93,'Look-ups'!$A$122:$G$130,6,FALSE)</f>
        <v>0.28440366972477066</v>
      </c>
      <c r="AG93" s="260">
        <f>VLOOKUP($AD93,'Look-ups'!$A$122:$G$130,7,FALSE)</f>
        <v>0.591743119266055</v>
      </c>
      <c r="AH93" s="264">
        <f>VLOOKUP($AC93,'Look-ups'!$A$50:$AO$118,'Look-ups'!$B$133*4,FALSE)*0.277778</f>
        <v>40.8401108677018</v>
      </c>
      <c r="AI93" s="264">
        <f>VLOOKUP($AC93,'Look-ups'!$A$50:$AO$118,'Look-ups'!$B$133*4+1,FALSE)*0.277778</f>
        <v>6.382149132298196</v>
      </c>
      <c r="AJ93" s="264">
        <f>AE93*$AH93/'Look-ups'!$B$141</f>
        <v>6.611998521484373</v>
      </c>
      <c r="AK93" s="264">
        <f>AF93*$AH93/'Look-ups'!$B$140</f>
        <v>15.91106493526148</v>
      </c>
      <c r="AL93" s="264">
        <f>AG93*$AH93/'Look-ups'!$B$137</f>
        <v>4.603210399242929</v>
      </c>
      <c r="AM93" s="264">
        <f>AI93/'Look-ups'!$B$136</f>
        <v>1.3436103436417255</v>
      </c>
      <c r="AN93" s="263">
        <f>AJ93*VLOOKUP($AD93,'Look-ups'!$A$123:$M$130,10,FALSE)</f>
        <v>1.7944229320806198</v>
      </c>
      <c r="AO93" s="263">
        <f>AK93*VLOOKUP($AD93,'Look-ups'!$A$123:$M$130,9,FALSE)</f>
        <v>9.232363606555603</v>
      </c>
      <c r="AP93" s="263">
        <f>(AL93+AM93)*VLOOKUP($AD93,'Look-ups'!$A$123:$M$130,8,FALSE)</f>
        <v>1.7876440494148418</v>
      </c>
      <c r="AQ93" s="263">
        <f t="shared" si="2"/>
        <v>12.814430588051065</v>
      </c>
      <c r="AR93" s="265">
        <f>AJ93*VLOOKUP($AD93,'Look-ups'!$A$123:$M$130,11,FALSE)</f>
        <v>0.02856463342254832</v>
      </c>
      <c r="AS93" s="265">
        <f>AK93*VLOOKUP($AD93,'Look-ups'!$A$123:$M$130,12,FALSE)</f>
        <v>2.951712481959982</v>
      </c>
      <c r="AT93" s="265">
        <f>(AL93+AM93)*VLOOKUP($AD93,'Look-ups'!$A$123:$M$130,13,FALSE)</f>
        <v>1.2012577900627004</v>
      </c>
      <c r="AU93" s="265">
        <f t="shared" si="3"/>
        <v>4.181534905445231</v>
      </c>
    </row>
    <row r="94" spans="1:47" ht="15">
      <c r="A94">
        <v>5002</v>
      </c>
      <c r="B94" t="s">
        <v>381</v>
      </c>
      <c r="C94">
        <v>50.0424999999999</v>
      </c>
      <c r="D94">
        <v>14660</v>
      </c>
      <c r="E94">
        <v>292.95099165709206</v>
      </c>
      <c r="F94" t="s">
        <v>173</v>
      </c>
      <c r="G94" t="s">
        <v>170</v>
      </c>
      <c r="H94">
        <f>VLOOKUP(CONCATENATE($G94,"-",$F94,"-",$H$2),'Look-ups'!$O$3:$S$34,5,FALSE)*VLOOKUP(CONCATENATE($F94,"-",$H$2,"-",H$3),'Look-ups'!$I$3:$M$24,5,FALSE)</f>
        <v>254</v>
      </c>
      <c r="I94">
        <f>VLOOKUP(CONCATENATE($G94,"-",$F94,"-",$H$2),'Look-ups'!$O$3:$S$34,5,FALSE)*VLOOKUP(CONCATENATE($F94,"-",$H$2,"-",I$3),'Look-ups'!$I$3:$M$24,5,FALSE)</f>
        <v>381</v>
      </c>
      <c r="J94">
        <f>VLOOKUP(CONCATENATE($G94,"-",$F94,"-",$H$2),'Look-ups'!$O$3:$S$34,5,FALSE)*VLOOKUP(CONCATENATE($F94,"-",$H$2,"-",J$3),'Look-ups'!$I$3:$M$24,5,FALSE)</f>
        <v>444.5</v>
      </c>
      <c r="K94">
        <f>VLOOKUP(CONCATENATE($G94,"-",$F94,"-",$H$2),'Look-ups'!$O$3:$S$34,5,FALSE)*VLOOKUP(CONCATENATE($F94,"-",$H$2,"-",K$3),'Look-ups'!$I$3:$M$24,5,FALSE)</f>
        <v>571.5</v>
      </c>
      <c r="L94">
        <f>VLOOKUP(CONCATENATE($G94,"-",$F94,"-",$H$2),'Look-ups'!$O$3:$S$34,5,FALSE)*VLOOKUP(CONCATENATE($F94,"-",$H$2,"-",L$3),'Look-ups'!$I$3:$M$24,5,FALSE)</f>
        <v>635</v>
      </c>
      <c r="M94">
        <f>VLOOKUP(CONCATENATE($G94,"-",$F94,"-",$H$2),'Look-ups'!$O$3:$S$34,5,FALSE)*VLOOKUP(CONCATENATE($F94,"-",$H$2,"-",M$3),'Look-ups'!$I$3:$M$24,5,FALSE)</f>
        <v>698.5</v>
      </c>
      <c r="N94">
        <f>VLOOKUP(CONCATENATE($G94,"-",$F94,"-",$N$2),'Look-ups'!$O$3:$S$34,5,FALSE)*VLOOKUP(CONCATENATE($F94,"-",$N$2,"-",N$3),'Look-ups'!$I$3:$M$24,5,FALSE)</f>
        <v>255.75</v>
      </c>
      <c r="O94">
        <f>VLOOKUP(CONCATENATE($G94,"-",$F94,"-",$N$2),'Look-ups'!$O$3:$S$34,5,FALSE)*VLOOKUP(CONCATENATE($F94,"-",$N$2,"-",O$3),'Look-ups'!$I$3:$M$24,5,FALSE)</f>
        <v>255.75</v>
      </c>
      <c r="P94">
        <f>VLOOKUP(CONCATENATE($G94,"-",$F94,"-",$N$2),'Look-ups'!$O$3:$S$34,5,FALSE)*VLOOKUP(CONCATENATE($F94,"-",$N$2,"-",P$3),'Look-ups'!$I$3:$M$24,5,FALSE)</f>
        <v>341</v>
      </c>
      <c r="Q94">
        <f>VLOOKUP(CONCATENATE($G94,"-",$F94,"-",$N$2),'Look-ups'!$O$3:$S$34,5,FALSE)*VLOOKUP(CONCATENATE($F94,"-",$N$2,"-",Q$3),'Look-ups'!$I$3:$M$24,5,FALSE)</f>
        <v>438.42857142857144</v>
      </c>
      <c r="R94">
        <f>VLOOKUP(CONCATENATE($G94,"-",$F94,"-",$N$2),'Look-ups'!$O$3:$S$34,5,FALSE)*VLOOKUP(CONCATENATE($F94,"-",$N$2,"-",R$3),'Look-ups'!$I$3:$M$24,5,FALSE)</f>
        <v>499.32142857142856</v>
      </c>
      <c r="S94" s="117">
        <f>VLOOKUP(CONCATENATE($G94,"-",$F94,"-Lone Person"),'Look-ups'!$Y$4:$AG$35,5,FALSE)</f>
        <v>107.06</v>
      </c>
      <c r="T94">
        <f>VLOOKUP(CONCATENATE($G94,"-",$F94,"-Lone Person"),'Look-ups'!$Y$4:$AG$35,6,FALSE)</f>
        <v>153.70000000000002</v>
      </c>
      <c r="U94">
        <f>VLOOKUP(CONCATENATE($G94,"-",$F94,"-Lone Person"),'Look-ups'!$Y$4:$AG$35,7,FALSE)</f>
        <v>184.44</v>
      </c>
      <c r="V94">
        <f>VLOOKUP(CONCATENATE($G94,"-",$F94,"-Lone Person"),'Look-ups'!$Y$4:$AG$35,8,FALSE)</f>
        <v>225.78</v>
      </c>
      <c r="W94">
        <f>VLOOKUP(CONCATENATE($G94,"-",$F94,"-Lone Person"),'Look-ups'!$Y$4:$AG$35,9,FALSE)</f>
        <v>214.12</v>
      </c>
      <c r="X94" s="117">
        <f>VLOOKUP(CONCATENATE($G94,"-",$F94,"-Couple Only"),'Look-ups'!$Y$4:$AG$35,5,FALSE)</f>
        <v>173.84</v>
      </c>
      <c r="Y94">
        <f>VLOOKUP(CONCATENATE($G94,"-",$F94,"-Couple Only"),'Look-ups'!$Y$4:$AG$35,6,FALSE)</f>
        <v>164.3</v>
      </c>
      <c r="Z94">
        <f>VLOOKUP(CONCATENATE($G94,"-",$F94,"-Couple Only"),'Look-ups'!$Y$4:$AG$35,7,FALSE)</f>
        <v>185.5</v>
      </c>
      <c r="AA94">
        <f>VLOOKUP(CONCATENATE($G94,"-",$F94,"-Couple Only"),'Look-ups'!$Y$4:$AG$35,8,FALSE)</f>
        <v>205.64000000000001</v>
      </c>
      <c r="AB94">
        <f>VLOOKUP(CONCATENATE($G94,"-",$F94,"-Couple Only"),'Look-ups'!$Y$4:$AG$35,9,FALSE)</f>
        <v>258.64</v>
      </c>
      <c r="AC94">
        <v>33</v>
      </c>
      <c r="AD94" t="s">
        <v>170</v>
      </c>
      <c r="AE94" s="260">
        <f>VLOOKUP($AD94,'Look-ups'!$A$122:$G$130,5,FALSE)</f>
        <v>0.12385321100917432</v>
      </c>
      <c r="AF94" s="260">
        <f>VLOOKUP($AD94,'Look-ups'!$A$122:$G$130,6,FALSE)</f>
        <v>0.28440366972477066</v>
      </c>
      <c r="AG94" s="260">
        <f>VLOOKUP($AD94,'Look-ups'!$A$122:$G$130,7,FALSE)</f>
        <v>0.591743119266055</v>
      </c>
      <c r="AH94" s="264">
        <f>VLOOKUP($AC94,'Look-ups'!$A$50:$AO$118,'Look-ups'!$B$133*4,FALSE)*0.277778</f>
        <v>0.042903111384061596</v>
      </c>
      <c r="AI94" s="264">
        <f>VLOOKUP($AC94,'Look-ups'!$A$50:$AO$118,'Look-ups'!$B$133*4+1,FALSE)*0.277778</f>
        <v>121.62386088861595</v>
      </c>
      <c r="AJ94" s="264">
        <f>AE94*$AH94/'Look-ups'!$B$141</f>
        <v>0.006945997525752014</v>
      </c>
      <c r="AK94" s="264">
        <f>AF94*$AH94/'Look-ups'!$B$140</f>
        <v>0.016714797698955758</v>
      </c>
      <c r="AL94" s="264">
        <f>AG94*$AH94/'Look-ups'!$B$137</f>
        <v>0.004835737325071163</v>
      </c>
      <c r="AM94" s="264">
        <f>AI94/'Look-ups'!$B$136</f>
        <v>25.60502334497178</v>
      </c>
      <c r="AN94" s="263">
        <f>AJ94*VLOOKUP($AD94,'Look-ups'!$A$123:$M$130,10,FALSE)</f>
        <v>0.0018850665507388102</v>
      </c>
      <c r="AO94" s="263">
        <f>AK94*VLOOKUP($AD94,'Look-ups'!$A$123:$M$130,9,FALSE)</f>
        <v>0.00969872793522368</v>
      </c>
      <c r="AP94" s="263">
        <f>(AL94+AM94)*VLOOKUP($AD94,'Look-ups'!$A$123:$M$130,8,FALSE)</f>
        <v>7.698451689433845</v>
      </c>
      <c r="AQ94" s="263">
        <f t="shared" si="2"/>
        <v>7.710035483919807</v>
      </c>
      <c r="AR94" s="265">
        <f>AJ94*VLOOKUP($AD94,'Look-ups'!$A$123:$M$130,11,FALSE)</f>
        <v>3.000754952263533E-05</v>
      </c>
      <c r="AS94" s="265">
        <f>AK94*VLOOKUP($AD94,'Look-ups'!$A$123:$M$130,12,FALSE)</f>
        <v>0.003100815514372287</v>
      </c>
      <c r="AT94" s="265">
        <f>(AL94+AM94)*VLOOKUP($AD94,'Look-ups'!$A$123:$M$130,13,FALSE)</f>
        <v>5.173191534623964</v>
      </c>
      <c r="AU94" s="265">
        <f t="shared" si="3"/>
        <v>5.176322357687859</v>
      </c>
    </row>
    <row r="95" spans="1:47" ht="15">
      <c r="A95">
        <v>5003</v>
      </c>
      <c r="B95" t="s">
        <v>382</v>
      </c>
      <c r="C95">
        <v>222.700299999999</v>
      </c>
      <c r="D95">
        <v>76452</v>
      </c>
      <c r="E95">
        <v>343.2954513307811</v>
      </c>
      <c r="F95" t="s">
        <v>173</v>
      </c>
      <c r="G95" t="s">
        <v>170</v>
      </c>
      <c r="H95">
        <f>VLOOKUP(CONCATENATE($G95,"-",$F95,"-",$H$2),'Look-ups'!$O$3:$S$34,5,FALSE)*VLOOKUP(CONCATENATE($F95,"-",$H$2,"-",H$3),'Look-ups'!$I$3:$M$24,5,FALSE)</f>
        <v>254</v>
      </c>
      <c r="I95">
        <f>VLOOKUP(CONCATENATE($G95,"-",$F95,"-",$H$2),'Look-ups'!$O$3:$S$34,5,FALSE)*VLOOKUP(CONCATENATE($F95,"-",$H$2,"-",I$3),'Look-ups'!$I$3:$M$24,5,FALSE)</f>
        <v>381</v>
      </c>
      <c r="J95">
        <f>VLOOKUP(CONCATENATE($G95,"-",$F95,"-",$H$2),'Look-ups'!$O$3:$S$34,5,FALSE)*VLOOKUP(CONCATENATE($F95,"-",$H$2,"-",J$3),'Look-ups'!$I$3:$M$24,5,FALSE)</f>
        <v>444.5</v>
      </c>
      <c r="K95">
        <f>VLOOKUP(CONCATENATE($G95,"-",$F95,"-",$H$2),'Look-ups'!$O$3:$S$34,5,FALSE)*VLOOKUP(CONCATENATE($F95,"-",$H$2,"-",K$3),'Look-ups'!$I$3:$M$24,5,FALSE)</f>
        <v>571.5</v>
      </c>
      <c r="L95">
        <f>VLOOKUP(CONCATENATE($G95,"-",$F95,"-",$H$2),'Look-ups'!$O$3:$S$34,5,FALSE)*VLOOKUP(CONCATENATE($F95,"-",$H$2,"-",L$3),'Look-ups'!$I$3:$M$24,5,FALSE)</f>
        <v>635</v>
      </c>
      <c r="M95">
        <f>VLOOKUP(CONCATENATE($G95,"-",$F95,"-",$H$2),'Look-ups'!$O$3:$S$34,5,FALSE)*VLOOKUP(CONCATENATE($F95,"-",$H$2,"-",M$3),'Look-ups'!$I$3:$M$24,5,FALSE)</f>
        <v>698.5</v>
      </c>
      <c r="N95">
        <f>VLOOKUP(CONCATENATE($G95,"-",$F95,"-",$N$2),'Look-ups'!$O$3:$S$34,5,FALSE)*VLOOKUP(CONCATENATE($F95,"-",$N$2,"-",N$3),'Look-ups'!$I$3:$M$24,5,FALSE)</f>
        <v>255.75</v>
      </c>
      <c r="O95">
        <f>VLOOKUP(CONCATENATE($G95,"-",$F95,"-",$N$2),'Look-ups'!$O$3:$S$34,5,FALSE)*VLOOKUP(CONCATENATE($F95,"-",$N$2,"-",O$3),'Look-ups'!$I$3:$M$24,5,FALSE)</f>
        <v>255.75</v>
      </c>
      <c r="P95">
        <f>VLOOKUP(CONCATENATE($G95,"-",$F95,"-",$N$2),'Look-ups'!$O$3:$S$34,5,FALSE)*VLOOKUP(CONCATENATE($F95,"-",$N$2,"-",P$3),'Look-ups'!$I$3:$M$24,5,FALSE)</f>
        <v>341</v>
      </c>
      <c r="Q95">
        <f>VLOOKUP(CONCATENATE($G95,"-",$F95,"-",$N$2),'Look-ups'!$O$3:$S$34,5,FALSE)*VLOOKUP(CONCATENATE($F95,"-",$N$2,"-",Q$3),'Look-ups'!$I$3:$M$24,5,FALSE)</f>
        <v>438.42857142857144</v>
      </c>
      <c r="R95">
        <f>VLOOKUP(CONCATENATE($G95,"-",$F95,"-",$N$2),'Look-ups'!$O$3:$S$34,5,FALSE)*VLOOKUP(CONCATENATE($F95,"-",$N$2,"-",R$3),'Look-ups'!$I$3:$M$24,5,FALSE)</f>
        <v>499.32142857142856</v>
      </c>
      <c r="S95" s="117">
        <f>VLOOKUP(CONCATENATE($G95,"-",$F95,"-Lone Person"),'Look-ups'!$Y$4:$AG$35,5,FALSE)</f>
        <v>107.06</v>
      </c>
      <c r="T95">
        <f>VLOOKUP(CONCATENATE($G95,"-",$F95,"-Lone Person"),'Look-ups'!$Y$4:$AG$35,6,FALSE)</f>
        <v>153.70000000000002</v>
      </c>
      <c r="U95">
        <f>VLOOKUP(CONCATENATE($G95,"-",$F95,"-Lone Person"),'Look-ups'!$Y$4:$AG$35,7,FALSE)</f>
        <v>184.44</v>
      </c>
      <c r="V95">
        <f>VLOOKUP(CONCATENATE($G95,"-",$F95,"-Lone Person"),'Look-ups'!$Y$4:$AG$35,8,FALSE)</f>
        <v>225.78</v>
      </c>
      <c r="W95">
        <f>VLOOKUP(CONCATENATE($G95,"-",$F95,"-Lone Person"),'Look-ups'!$Y$4:$AG$35,9,FALSE)</f>
        <v>214.12</v>
      </c>
      <c r="X95" s="117">
        <f>VLOOKUP(CONCATENATE($G95,"-",$F95,"-Couple Only"),'Look-ups'!$Y$4:$AG$35,5,FALSE)</f>
        <v>173.84</v>
      </c>
      <c r="Y95">
        <f>VLOOKUP(CONCATENATE($G95,"-",$F95,"-Couple Only"),'Look-ups'!$Y$4:$AG$35,6,FALSE)</f>
        <v>164.3</v>
      </c>
      <c r="Z95">
        <f>VLOOKUP(CONCATENATE($G95,"-",$F95,"-Couple Only"),'Look-ups'!$Y$4:$AG$35,7,FALSE)</f>
        <v>185.5</v>
      </c>
      <c r="AA95">
        <f>VLOOKUP(CONCATENATE($G95,"-",$F95,"-Couple Only"),'Look-ups'!$Y$4:$AG$35,8,FALSE)</f>
        <v>205.64000000000001</v>
      </c>
      <c r="AB95">
        <f>VLOOKUP(CONCATENATE($G95,"-",$F95,"-Couple Only"),'Look-ups'!$Y$4:$AG$35,9,FALSE)</f>
        <v>258.64</v>
      </c>
      <c r="AC95">
        <v>54</v>
      </c>
      <c r="AD95" t="s">
        <v>170</v>
      </c>
      <c r="AE95" s="260">
        <f>VLOOKUP($AD95,'Look-ups'!$A$122:$G$130,5,FALSE)</f>
        <v>0.12385321100917432</v>
      </c>
      <c r="AF95" s="260">
        <f>VLOOKUP($AD95,'Look-ups'!$A$122:$G$130,6,FALSE)</f>
        <v>0.28440366972477066</v>
      </c>
      <c r="AG95" s="260">
        <f>VLOOKUP($AD95,'Look-ups'!$A$122:$G$130,7,FALSE)</f>
        <v>0.591743119266055</v>
      </c>
      <c r="AH95" s="264">
        <f>VLOOKUP($AC95,'Look-ups'!$A$50:$AO$118,'Look-ups'!$B$133*4,FALSE)*0.277778</f>
        <v>8.889495866235206</v>
      </c>
      <c r="AI95" s="264">
        <f>VLOOKUP($AC95,'Look-ups'!$A$50:$AO$118,'Look-ups'!$B$133*4+1,FALSE)*0.277778</f>
        <v>18.610526133764793</v>
      </c>
      <c r="AJ95" s="264">
        <f>AE95*$AH95/'Look-ups'!$B$141</f>
        <v>1.439206022596094</v>
      </c>
      <c r="AK95" s="264">
        <f>AF95*$AH95/'Look-ups'!$B$140</f>
        <v>3.4632948580280436</v>
      </c>
      <c r="AL95" s="264">
        <f>AG95*$AH95/'Look-ups'!$B$137</f>
        <v>1.0019615262073758</v>
      </c>
      <c r="AM95" s="264">
        <f>AI95/'Look-ups'!$B$136</f>
        <v>3.9180055018452196</v>
      </c>
      <c r="AN95" s="263">
        <f>AJ95*VLOOKUP($AD95,'Look-ups'!$A$123:$M$130,10,FALSE)</f>
        <v>0.390584523354551</v>
      </c>
      <c r="AO95" s="263">
        <f>AK95*VLOOKUP($AD95,'Look-ups'!$A$123:$M$130,9,FALSE)</f>
        <v>2.009569914781056</v>
      </c>
      <c r="AP95" s="263">
        <f>(AL95+AM95)*VLOOKUP($AD95,'Look-ups'!$A$123:$M$130,8,FALSE)</f>
        <v>1.4789666884677506</v>
      </c>
      <c r="AQ95" s="263">
        <f t="shared" si="2"/>
        <v>3.8791211266033576</v>
      </c>
      <c r="AR95" s="265">
        <f>AJ95*VLOOKUP($AD95,'Look-ups'!$A$123:$M$130,11,FALSE)</f>
        <v>0.006217544108850174</v>
      </c>
      <c r="AS95" s="265">
        <f>AK95*VLOOKUP($AD95,'Look-ups'!$A$123:$M$130,12,FALSE)</f>
        <v>0.6424868921560467</v>
      </c>
      <c r="AT95" s="265">
        <f>(AL95+AM95)*VLOOKUP($AD95,'Look-ups'!$A$123:$M$130,13,FALSE)</f>
        <v>0.9938333396666243</v>
      </c>
      <c r="AU95" s="265">
        <f t="shared" si="3"/>
        <v>1.6425377759315212</v>
      </c>
    </row>
    <row r="96" spans="1:47" ht="15">
      <c r="A96">
        <v>5004</v>
      </c>
      <c r="B96" t="s">
        <v>383</v>
      </c>
      <c r="C96">
        <v>1423.304</v>
      </c>
      <c r="D96">
        <v>40544</v>
      </c>
      <c r="E96">
        <v>28.485832963302286</v>
      </c>
      <c r="F96" t="s">
        <v>173</v>
      </c>
      <c r="G96" t="s">
        <v>170</v>
      </c>
      <c r="H96">
        <f>VLOOKUP(CONCATENATE($G96,"-",$F96,"-",$H$2),'Look-ups'!$O$3:$S$34,5,FALSE)*VLOOKUP(CONCATENATE($F96,"-",$H$2,"-",H$3),'Look-ups'!$I$3:$M$24,5,FALSE)</f>
        <v>254</v>
      </c>
      <c r="I96">
        <f>VLOOKUP(CONCATENATE($G96,"-",$F96,"-",$H$2),'Look-ups'!$O$3:$S$34,5,FALSE)*VLOOKUP(CONCATENATE($F96,"-",$H$2,"-",I$3),'Look-ups'!$I$3:$M$24,5,FALSE)</f>
        <v>381</v>
      </c>
      <c r="J96">
        <f>VLOOKUP(CONCATENATE($G96,"-",$F96,"-",$H$2),'Look-ups'!$O$3:$S$34,5,FALSE)*VLOOKUP(CONCATENATE($F96,"-",$H$2,"-",J$3),'Look-ups'!$I$3:$M$24,5,FALSE)</f>
        <v>444.5</v>
      </c>
      <c r="K96">
        <f>VLOOKUP(CONCATENATE($G96,"-",$F96,"-",$H$2),'Look-ups'!$O$3:$S$34,5,FALSE)*VLOOKUP(CONCATENATE($F96,"-",$H$2,"-",K$3),'Look-ups'!$I$3:$M$24,5,FALSE)</f>
        <v>571.5</v>
      </c>
      <c r="L96">
        <f>VLOOKUP(CONCATENATE($G96,"-",$F96,"-",$H$2),'Look-ups'!$O$3:$S$34,5,FALSE)*VLOOKUP(CONCATENATE($F96,"-",$H$2,"-",L$3),'Look-ups'!$I$3:$M$24,5,FALSE)</f>
        <v>635</v>
      </c>
      <c r="M96">
        <f>VLOOKUP(CONCATENATE($G96,"-",$F96,"-",$H$2),'Look-ups'!$O$3:$S$34,5,FALSE)*VLOOKUP(CONCATENATE($F96,"-",$H$2,"-",M$3),'Look-ups'!$I$3:$M$24,5,FALSE)</f>
        <v>698.5</v>
      </c>
      <c r="N96">
        <f>VLOOKUP(CONCATENATE($G96,"-",$F96,"-",$N$2),'Look-ups'!$O$3:$S$34,5,FALSE)*VLOOKUP(CONCATENATE($F96,"-",$N$2,"-",N$3),'Look-ups'!$I$3:$M$24,5,FALSE)</f>
        <v>255.75</v>
      </c>
      <c r="O96">
        <f>VLOOKUP(CONCATENATE($G96,"-",$F96,"-",$N$2),'Look-ups'!$O$3:$S$34,5,FALSE)*VLOOKUP(CONCATENATE($F96,"-",$N$2,"-",O$3),'Look-ups'!$I$3:$M$24,5,FALSE)</f>
        <v>255.75</v>
      </c>
      <c r="P96">
        <f>VLOOKUP(CONCATENATE($G96,"-",$F96,"-",$N$2),'Look-ups'!$O$3:$S$34,5,FALSE)*VLOOKUP(CONCATENATE($F96,"-",$N$2,"-",P$3),'Look-ups'!$I$3:$M$24,5,FALSE)</f>
        <v>341</v>
      </c>
      <c r="Q96">
        <f>VLOOKUP(CONCATENATE($G96,"-",$F96,"-",$N$2),'Look-ups'!$O$3:$S$34,5,FALSE)*VLOOKUP(CONCATENATE($F96,"-",$N$2,"-",Q$3),'Look-ups'!$I$3:$M$24,5,FALSE)</f>
        <v>438.42857142857144</v>
      </c>
      <c r="R96">
        <f>VLOOKUP(CONCATENATE($G96,"-",$F96,"-",$N$2),'Look-ups'!$O$3:$S$34,5,FALSE)*VLOOKUP(CONCATENATE($F96,"-",$N$2,"-",R$3),'Look-ups'!$I$3:$M$24,5,FALSE)</f>
        <v>499.32142857142856</v>
      </c>
      <c r="S96" s="117">
        <f>VLOOKUP(CONCATENATE($G96,"-",$F96,"-Lone Person"),'Look-ups'!$Y$4:$AG$35,5,FALSE)</f>
        <v>107.06</v>
      </c>
      <c r="T96">
        <f>VLOOKUP(CONCATENATE($G96,"-",$F96,"-Lone Person"),'Look-ups'!$Y$4:$AG$35,6,FALSE)</f>
        <v>153.70000000000002</v>
      </c>
      <c r="U96">
        <f>VLOOKUP(CONCATENATE($G96,"-",$F96,"-Lone Person"),'Look-ups'!$Y$4:$AG$35,7,FALSE)</f>
        <v>184.44</v>
      </c>
      <c r="V96">
        <f>VLOOKUP(CONCATENATE($G96,"-",$F96,"-Lone Person"),'Look-ups'!$Y$4:$AG$35,8,FALSE)</f>
        <v>225.78</v>
      </c>
      <c r="W96">
        <f>VLOOKUP(CONCATENATE($G96,"-",$F96,"-Lone Person"),'Look-ups'!$Y$4:$AG$35,9,FALSE)</f>
        <v>214.12</v>
      </c>
      <c r="X96" s="117">
        <f>VLOOKUP(CONCATENATE($G96,"-",$F96,"-Couple Only"),'Look-ups'!$Y$4:$AG$35,5,FALSE)</f>
        <v>173.84</v>
      </c>
      <c r="Y96">
        <f>VLOOKUP(CONCATENATE($G96,"-",$F96,"-Couple Only"),'Look-ups'!$Y$4:$AG$35,6,FALSE)</f>
        <v>164.3</v>
      </c>
      <c r="Z96">
        <f>VLOOKUP(CONCATENATE($G96,"-",$F96,"-Couple Only"),'Look-ups'!$Y$4:$AG$35,7,FALSE)</f>
        <v>185.5</v>
      </c>
      <c r="AA96">
        <f>VLOOKUP(CONCATENATE($G96,"-",$F96,"-Couple Only"),'Look-ups'!$Y$4:$AG$35,8,FALSE)</f>
        <v>205.64000000000001</v>
      </c>
      <c r="AB96">
        <f>VLOOKUP(CONCATENATE($G96,"-",$F96,"-Couple Only"),'Look-ups'!$Y$4:$AG$35,9,FALSE)</f>
        <v>258.64</v>
      </c>
      <c r="AC96">
        <v>54</v>
      </c>
      <c r="AD96" t="s">
        <v>170</v>
      </c>
      <c r="AE96" s="260">
        <f>VLOOKUP($AD96,'Look-ups'!$A$122:$G$130,5,FALSE)</f>
        <v>0.12385321100917432</v>
      </c>
      <c r="AF96" s="260">
        <f>VLOOKUP($AD96,'Look-ups'!$A$122:$G$130,6,FALSE)</f>
        <v>0.28440366972477066</v>
      </c>
      <c r="AG96" s="260">
        <f>VLOOKUP($AD96,'Look-ups'!$A$122:$G$130,7,FALSE)</f>
        <v>0.591743119266055</v>
      </c>
      <c r="AH96" s="264">
        <f>VLOOKUP($AC96,'Look-ups'!$A$50:$AO$118,'Look-ups'!$B$133*4,FALSE)*0.277778</f>
        <v>8.889495866235206</v>
      </c>
      <c r="AI96" s="264">
        <f>VLOOKUP($AC96,'Look-ups'!$A$50:$AO$118,'Look-ups'!$B$133*4+1,FALSE)*0.277778</f>
        <v>18.610526133764793</v>
      </c>
      <c r="AJ96" s="264">
        <f>AE96*$AH96/'Look-ups'!$B$141</f>
        <v>1.439206022596094</v>
      </c>
      <c r="AK96" s="264">
        <f>AF96*$AH96/'Look-ups'!$B$140</f>
        <v>3.4632948580280436</v>
      </c>
      <c r="AL96" s="264">
        <f>AG96*$AH96/'Look-ups'!$B$137</f>
        <v>1.0019615262073758</v>
      </c>
      <c r="AM96" s="264">
        <f>AI96/'Look-ups'!$B$136</f>
        <v>3.9180055018452196</v>
      </c>
      <c r="AN96" s="263">
        <f>AJ96*VLOOKUP($AD96,'Look-ups'!$A$123:$M$130,10,FALSE)</f>
        <v>0.390584523354551</v>
      </c>
      <c r="AO96" s="263">
        <f>AK96*VLOOKUP($AD96,'Look-ups'!$A$123:$M$130,9,FALSE)</f>
        <v>2.009569914781056</v>
      </c>
      <c r="AP96" s="263">
        <f>(AL96+AM96)*VLOOKUP($AD96,'Look-ups'!$A$123:$M$130,8,FALSE)</f>
        <v>1.4789666884677506</v>
      </c>
      <c r="AQ96" s="263">
        <f t="shared" si="2"/>
        <v>3.8791211266033576</v>
      </c>
      <c r="AR96" s="265">
        <f>AJ96*VLOOKUP($AD96,'Look-ups'!$A$123:$M$130,11,FALSE)</f>
        <v>0.006217544108850174</v>
      </c>
      <c r="AS96" s="265">
        <f>AK96*VLOOKUP($AD96,'Look-ups'!$A$123:$M$130,12,FALSE)</f>
        <v>0.6424868921560467</v>
      </c>
      <c r="AT96" s="265">
        <f>(AL96+AM96)*VLOOKUP($AD96,'Look-ups'!$A$123:$M$130,13,FALSE)</f>
        <v>0.9938333396666243</v>
      </c>
      <c r="AU96" s="265">
        <f t="shared" si="3"/>
        <v>1.6425377759315212</v>
      </c>
    </row>
    <row r="97" spans="1:47" ht="15">
      <c r="A97">
        <v>5005</v>
      </c>
      <c r="B97" t="s">
        <v>384</v>
      </c>
      <c r="C97">
        <v>479.866899999999</v>
      </c>
      <c r="D97">
        <v>12003</v>
      </c>
      <c r="E97">
        <v>25.013185948020222</v>
      </c>
      <c r="F97" t="s">
        <v>173</v>
      </c>
      <c r="G97" t="s">
        <v>170</v>
      </c>
      <c r="H97">
        <f>VLOOKUP(CONCATENATE($G97,"-",$F97,"-",$H$2),'Look-ups'!$O$3:$S$34,5,FALSE)*VLOOKUP(CONCATENATE($F97,"-",$H$2,"-",H$3),'Look-ups'!$I$3:$M$24,5,FALSE)</f>
        <v>254</v>
      </c>
      <c r="I97">
        <f>VLOOKUP(CONCATENATE($G97,"-",$F97,"-",$H$2),'Look-ups'!$O$3:$S$34,5,FALSE)*VLOOKUP(CONCATENATE($F97,"-",$H$2,"-",I$3),'Look-ups'!$I$3:$M$24,5,FALSE)</f>
        <v>381</v>
      </c>
      <c r="J97">
        <f>VLOOKUP(CONCATENATE($G97,"-",$F97,"-",$H$2),'Look-ups'!$O$3:$S$34,5,FALSE)*VLOOKUP(CONCATENATE($F97,"-",$H$2,"-",J$3),'Look-ups'!$I$3:$M$24,5,FALSE)</f>
        <v>444.5</v>
      </c>
      <c r="K97">
        <f>VLOOKUP(CONCATENATE($G97,"-",$F97,"-",$H$2),'Look-ups'!$O$3:$S$34,5,FALSE)*VLOOKUP(CONCATENATE($F97,"-",$H$2,"-",K$3),'Look-ups'!$I$3:$M$24,5,FALSE)</f>
        <v>571.5</v>
      </c>
      <c r="L97">
        <f>VLOOKUP(CONCATENATE($G97,"-",$F97,"-",$H$2),'Look-ups'!$O$3:$S$34,5,FALSE)*VLOOKUP(CONCATENATE($F97,"-",$H$2,"-",L$3),'Look-ups'!$I$3:$M$24,5,FALSE)</f>
        <v>635</v>
      </c>
      <c r="M97">
        <f>VLOOKUP(CONCATENATE($G97,"-",$F97,"-",$H$2),'Look-ups'!$O$3:$S$34,5,FALSE)*VLOOKUP(CONCATENATE($F97,"-",$H$2,"-",M$3),'Look-ups'!$I$3:$M$24,5,FALSE)</f>
        <v>698.5</v>
      </c>
      <c r="N97">
        <f>VLOOKUP(CONCATENATE($G97,"-",$F97,"-",$N$2),'Look-ups'!$O$3:$S$34,5,FALSE)*VLOOKUP(CONCATENATE($F97,"-",$N$2,"-",N$3),'Look-ups'!$I$3:$M$24,5,FALSE)</f>
        <v>255.75</v>
      </c>
      <c r="O97">
        <f>VLOOKUP(CONCATENATE($G97,"-",$F97,"-",$N$2),'Look-ups'!$O$3:$S$34,5,FALSE)*VLOOKUP(CONCATENATE($F97,"-",$N$2,"-",O$3),'Look-ups'!$I$3:$M$24,5,FALSE)</f>
        <v>255.75</v>
      </c>
      <c r="P97">
        <f>VLOOKUP(CONCATENATE($G97,"-",$F97,"-",$N$2),'Look-ups'!$O$3:$S$34,5,FALSE)*VLOOKUP(CONCATENATE($F97,"-",$N$2,"-",P$3),'Look-ups'!$I$3:$M$24,5,FALSE)</f>
        <v>341</v>
      </c>
      <c r="Q97">
        <f>VLOOKUP(CONCATENATE($G97,"-",$F97,"-",$N$2),'Look-ups'!$O$3:$S$34,5,FALSE)*VLOOKUP(CONCATENATE($F97,"-",$N$2,"-",Q$3),'Look-ups'!$I$3:$M$24,5,FALSE)</f>
        <v>438.42857142857144</v>
      </c>
      <c r="R97">
        <f>VLOOKUP(CONCATENATE($G97,"-",$F97,"-",$N$2),'Look-ups'!$O$3:$S$34,5,FALSE)*VLOOKUP(CONCATENATE($F97,"-",$N$2,"-",R$3),'Look-ups'!$I$3:$M$24,5,FALSE)</f>
        <v>499.32142857142856</v>
      </c>
      <c r="S97" s="117">
        <f>VLOOKUP(CONCATENATE($G97,"-",$F97,"-Lone Person"),'Look-ups'!$Y$4:$AG$35,5,FALSE)</f>
        <v>107.06</v>
      </c>
      <c r="T97">
        <f>VLOOKUP(CONCATENATE($G97,"-",$F97,"-Lone Person"),'Look-ups'!$Y$4:$AG$35,6,FALSE)</f>
        <v>153.70000000000002</v>
      </c>
      <c r="U97">
        <f>VLOOKUP(CONCATENATE($G97,"-",$F97,"-Lone Person"),'Look-ups'!$Y$4:$AG$35,7,FALSE)</f>
        <v>184.44</v>
      </c>
      <c r="V97">
        <f>VLOOKUP(CONCATENATE($G97,"-",$F97,"-Lone Person"),'Look-ups'!$Y$4:$AG$35,8,FALSE)</f>
        <v>225.78</v>
      </c>
      <c r="W97">
        <f>VLOOKUP(CONCATENATE($G97,"-",$F97,"-Lone Person"),'Look-ups'!$Y$4:$AG$35,9,FALSE)</f>
        <v>214.12</v>
      </c>
      <c r="X97" s="117">
        <f>VLOOKUP(CONCATENATE($G97,"-",$F97,"-Couple Only"),'Look-ups'!$Y$4:$AG$35,5,FALSE)</f>
        <v>173.84</v>
      </c>
      <c r="Y97">
        <f>VLOOKUP(CONCATENATE($G97,"-",$F97,"-Couple Only"),'Look-ups'!$Y$4:$AG$35,6,FALSE)</f>
        <v>164.3</v>
      </c>
      <c r="Z97">
        <f>VLOOKUP(CONCATENATE($G97,"-",$F97,"-Couple Only"),'Look-ups'!$Y$4:$AG$35,7,FALSE)</f>
        <v>185.5</v>
      </c>
      <c r="AA97">
        <f>VLOOKUP(CONCATENATE($G97,"-",$F97,"-Couple Only"),'Look-ups'!$Y$4:$AG$35,8,FALSE)</f>
        <v>205.64000000000001</v>
      </c>
      <c r="AB97">
        <f>VLOOKUP(CONCATENATE($G97,"-",$F97,"-Couple Only"),'Look-ups'!$Y$4:$AG$35,9,FALSE)</f>
        <v>258.64</v>
      </c>
      <c r="AC97">
        <v>55</v>
      </c>
      <c r="AD97" t="s">
        <v>170</v>
      </c>
      <c r="AE97" s="260">
        <f>VLOOKUP($AD97,'Look-ups'!$A$122:$G$130,5,FALSE)</f>
        <v>0.12385321100917432</v>
      </c>
      <c r="AF97" s="260">
        <f>VLOOKUP($AD97,'Look-ups'!$A$122:$G$130,6,FALSE)</f>
        <v>0.28440366972477066</v>
      </c>
      <c r="AG97" s="260">
        <f>VLOOKUP($AD97,'Look-ups'!$A$122:$G$130,7,FALSE)</f>
        <v>0.591743119266055</v>
      </c>
      <c r="AH97" s="264">
        <f>VLOOKUP($AC97,'Look-ups'!$A$50:$AO$118,'Look-ups'!$B$133*4,FALSE)*0.277778</f>
        <v>25.749122030847595</v>
      </c>
      <c r="AI97" s="264">
        <f>VLOOKUP($AC97,'Look-ups'!$A$50:$AO$118,'Look-ups'!$B$133*4+1,FALSE)*0.277778</f>
        <v>9.806461969152407</v>
      </c>
      <c r="AJ97" s="264">
        <f>AE97*$AH97/'Look-ups'!$B$141</f>
        <v>4.168773129656924</v>
      </c>
      <c r="AK97" s="264">
        <f>AF97*$AH97/'Look-ups'!$B$140</f>
        <v>10.031705202416433</v>
      </c>
      <c r="AL97" s="264">
        <f>AG97*$AH97/'Look-ups'!$B$137</f>
        <v>2.902260150265915</v>
      </c>
      <c r="AM97" s="264">
        <f>AI97/'Look-ups'!$B$136</f>
        <v>2.0645183092952437</v>
      </c>
      <c r="AN97" s="263">
        <f>AJ97*VLOOKUP($AD97,'Look-ups'!$A$123:$M$130,10,FALSE)</f>
        <v>1.1313587076874485</v>
      </c>
      <c r="AO97" s="263">
        <f>AK97*VLOOKUP($AD97,'Look-ups'!$A$123:$M$130,9,FALSE)</f>
        <v>5.82087688029173</v>
      </c>
      <c r="AP97" s="263">
        <f>(AL97+AM97)*VLOOKUP($AD97,'Look-ups'!$A$123:$M$130,8,FALSE)</f>
        <v>1.4930384388363822</v>
      </c>
      <c r="AQ97" s="263">
        <f t="shared" si="2"/>
        <v>8.44527402681556</v>
      </c>
      <c r="AR97" s="265">
        <f>AJ97*VLOOKUP($AD97,'Look-ups'!$A$123:$M$130,11,FALSE)</f>
        <v>0.018009604189035203</v>
      </c>
      <c r="AS97" s="265">
        <f>AK97*VLOOKUP($AD97,'Look-ups'!$A$123:$M$130,12,FALSE)</f>
        <v>1.8610136770728258</v>
      </c>
      <c r="AT97" s="265">
        <f>(AL97+AM97)*VLOOKUP($AD97,'Look-ups'!$A$123:$M$130,13,FALSE)</f>
        <v>1.003289248831354</v>
      </c>
      <c r="AU97" s="265">
        <f t="shared" si="3"/>
        <v>2.8823125300932153</v>
      </c>
    </row>
    <row r="98" spans="1:47" ht="15">
      <c r="A98">
        <v>5006</v>
      </c>
      <c r="B98" t="s">
        <v>385</v>
      </c>
      <c r="C98">
        <v>272.160399999999</v>
      </c>
      <c r="D98">
        <v>38595</v>
      </c>
      <c r="E98">
        <v>141.80975630547331</v>
      </c>
      <c r="F98" t="s">
        <v>173</v>
      </c>
      <c r="G98" t="s">
        <v>170</v>
      </c>
      <c r="H98">
        <f>VLOOKUP(CONCATENATE($G98,"-",$F98,"-",$H$2),'Look-ups'!$O$3:$S$34,5,FALSE)*VLOOKUP(CONCATENATE($F98,"-",$H$2,"-",H$3),'Look-ups'!$I$3:$M$24,5,FALSE)</f>
        <v>254</v>
      </c>
      <c r="I98">
        <f>VLOOKUP(CONCATENATE($G98,"-",$F98,"-",$H$2),'Look-ups'!$O$3:$S$34,5,FALSE)*VLOOKUP(CONCATENATE($F98,"-",$H$2,"-",I$3),'Look-ups'!$I$3:$M$24,5,FALSE)</f>
        <v>381</v>
      </c>
      <c r="J98">
        <f>VLOOKUP(CONCATENATE($G98,"-",$F98,"-",$H$2),'Look-ups'!$O$3:$S$34,5,FALSE)*VLOOKUP(CONCATENATE($F98,"-",$H$2,"-",J$3),'Look-ups'!$I$3:$M$24,5,FALSE)</f>
        <v>444.5</v>
      </c>
      <c r="K98">
        <f>VLOOKUP(CONCATENATE($G98,"-",$F98,"-",$H$2),'Look-ups'!$O$3:$S$34,5,FALSE)*VLOOKUP(CONCATENATE($F98,"-",$H$2,"-",K$3),'Look-ups'!$I$3:$M$24,5,FALSE)</f>
        <v>571.5</v>
      </c>
      <c r="L98">
        <f>VLOOKUP(CONCATENATE($G98,"-",$F98,"-",$H$2),'Look-ups'!$O$3:$S$34,5,FALSE)*VLOOKUP(CONCATENATE($F98,"-",$H$2,"-",L$3),'Look-ups'!$I$3:$M$24,5,FALSE)</f>
        <v>635</v>
      </c>
      <c r="M98">
        <f>VLOOKUP(CONCATENATE($G98,"-",$F98,"-",$H$2),'Look-ups'!$O$3:$S$34,5,FALSE)*VLOOKUP(CONCATENATE($F98,"-",$H$2,"-",M$3),'Look-ups'!$I$3:$M$24,5,FALSE)</f>
        <v>698.5</v>
      </c>
      <c r="N98">
        <f>VLOOKUP(CONCATENATE($G98,"-",$F98,"-",$N$2),'Look-ups'!$O$3:$S$34,5,FALSE)*VLOOKUP(CONCATENATE($F98,"-",$N$2,"-",N$3),'Look-ups'!$I$3:$M$24,5,FALSE)</f>
        <v>255.75</v>
      </c>
      <c r="O98">
        <f>VLOOKUP(CONCATENATE($G98,"-",$F98,"-",$N$2),'Look-ups'!$O$3:$S$34,5,FALSE)*VLOOKUP(CONCATENATE($F98,"-",$N$2,"-",O$3),'Look-ups'!$I$3:$M$24,5,FALSE)</f>
        <v>255.75</v>
      </c>
      <c r="P98">
        <f>VLOOKUP(CONCATENATE($G98,"-",$F98,"-",$N$2),'Look-ups'!$O$3:$S$34,5,FALSE)*VLOOKUP(CONCATENATE($F98,"-",$N$2,"-",P$3),'Look-ups'!$I$3:$M$24,5,FALSE)</f>
        <v>341</v>
      </c>
      <c r="Q98">
        <f>VLOOKUP(CONCATENATE($G98,"-",$F98,"-",$N$2),'Look-ups'!$O$3:$S$34,5,FALSE)*VLOOKUP(CONCATENATE($F98,"-",$N$2,"-",Q$3),'Look-ups'!$I$3:$M$24,5,FALSE)</f>
        <v>438.42857142857144</v>
      </c>
      <c r="R98">
        <f>VLOOKUP(CONCATENATE($G98,"-",$F98,"-",$N$2),'Look-ups'!$O$3:$S$34,5,FALSE)*VLOOKUP(CONCATENATE($F98,"-",$N$2,"-",R$3),'Look-ups'!$I$3:$M$24,5,FALSE)</f>
        <v>499.32142857142856</v>
      </c>
      <c r="S98" s="117">
        <f>VLOOKUP(CONCATENATE($G98,"-",$F98,"-Lone Person"),'Look-ups'!$Y$4:$AG$35,5,FALSE)</f>
        <v>107.06</v>
      </c>
      <c r="T98">
        <f>VLOOKUP(CONCATENATE($G98,"-",$F98,"-Lone Person"),'Look-ups'!$Y$4:$AG$35,6,FALSE)</f>
        <v>153.70000000000002</v>
      </c>
      <c r="U98">
        <f>VLOOKUP(CONCATENATE($G98,"-",$F98,"-Lone Person"),'Look-ups'!$Y$4:$AG$35,7,FALSE)</f>
        <v>184.44</v>
      </c>
      <c r="V98">
        <f>VLOOKUP(CONCATENATE($G98,"-",$F98,"-Lone Person"),'Look-ups'!$Y$4:$AG$35,8,FALSE)</f>
        <v>225.78</v>
      </c>
      <c r="W98">
        <f>VLOOKUP(CONCATENATE($G98,"-",$F98,"-Lone Person"),'Look-ups'!$Y$4:$AG$35,9,FALSE)</f>
        <v>214.12</v>
      </c>
      <c r="X98" s="117">
        <f>VLOOKUP(CONCATENATE($G98,"-",$F98,"-Couple Only"),'Look-ups'!$Y$4:$AG$35,5,FALSE)</f>
        <v>173.84</v>
      </c>
      <c r="Y98">
        <f>VLOOKUP(CONCATENATE($G98,"-",$F98,"-Couple Only"),'Look-ups'!$Y$4:$AG$35,6,FALSE)</f>
        <v>164.3</v>
      </c>
      <c r="Z98">
        <f>VLOOKUP(CONCATENATE($G98,"-",$F98,"-Couple Only"),'Look-ups'!$Y$4:$AG$35,7,FALSE)</f>
        <v>185.5</v>
      </c>
      <c r="AA98">
        <f>VLOOKUP(CONCATENATE($G98,"-",$F98,"-Couple Only"),'Look-ups'!$Y$4:$AG$35,8,FALSE)</f>
        <v>205.64000000000001</v>
      </c>
      <c r="AB98">
        <f>VLOOKUP(CONCATENATE($G98,"-",$F98,"-Couple Only"),'Look-ups'!$Y$4:$AG$35,9,FALSE)</f>
        <v>258.64</v>
      </c>
      <c r="AC98">
        <v>12</v>
      </c>
      <c r="AD98" t="s">
        <v>170</v>
      </c>
      <c r="AE98" s="260">
        <f>VLOOKUP($AD98,'Look-ups'!$A$122:$G$130,5,FALSE)</f>
        <v>0.12385321100917432</v>
      </c>
      <c r="AF98" s="260">
        <f>VLOOKUP($AD98,'Look-ups'!$A$122:$G$130,6,FALSE)</f>
        <v>0.28440366972477066</v>
      </c>
      <c r="AG98" s="260">
        <f>VLOOKUP($AD98,'Look-ups'!$A$122:$G$130,7,FALSE)</f>
        <v>0.591743119266055</v>
      </c>
      <c r="AH98" s="264">
        <f>VLOOKUP($AC98,'Look-ups'!$A$50:$AO$118,'Look-ups'!$B$133*4,FALSE)*0.277778</f>
        <v>5.738579429369489</v>
      </c>
      <c r="AI98" s="264">
        <f>VLOOKUP($AC98,'Look-ups'!$A$50:$AO$118,'Look-ups'!$B$133*4+1,FALSE)*0.277778</f>
        <v>27.594780570630515</v>
      </c>
      <c r="AJ98" s="264">
        <f>AE98*$AH98/'Look-ups'!$B$141</f>
        <v>0.9290738417759563</v>
      </c>
      <c r="AK98" s="264">
        <f>AF98*$AH98/'Look-ups'!$B$140</f>
        <v>2.235716505095566</v>
      </c>
      <c r="AL98" s="264">
        <f>AG98*$AH98/'Look-ups'!$B$137</f>
        <v>0.6468123603221181</v>
      </c>
      <c r="AM98" s="264">
        <f>AI98/'Look-ups'!$B$136</f>
        <v>5.809427488553792</v>
      </c>
      <c r="AN98" s="263">
        <f>AJ98*VLOOKUP($AD98,'Look-ups'!$A$123:$M$130,10,FALSE)</f>
        <v>0.2521403176153081</v>
      </c>
      <c r="AO98" s="263">
        <f>AK98*VLOOKUP($AD98,'Look-ups'!$A$123:$M$130,9,FALSE)</f>
        <v>1.297270030648692</v>
      </c>
      <c r="AP98" s="263">
        <f>(AL98+AM98)*VLOOKUP($AD98,'Look-ups'!$A$123:$M$130,8,FALSE)</f>
        <v>1.940777979771343</v>
      </c>
      <c r="AQ98" s="263">
        <f t="shared" si="2"/>
        <v>3.4901883280353427</v>
      </c>
      <c r="AR98" s="265">
        <f>AJ98*VLOOKUP($AD98,'Look-ups'!$A$123:$M$130,11,FALSE)</f>
        <v>0.004013711380390782</v>
      </c>
      <c r="AS98" s="265">
        <f>AK98*VLOOKUP($AD98,'Look-ups'!$A$123:$M$130,12,FALSE)</f>
        <v>0.4147549105647641</v>
      </c>
      <c r="AT98" s="265">
        <f>(AL98+AM98)*VLOOKUP($AD98,'Look-ups'!$A$123:$M$130,13,FALSE)</f>
        <v>1.304160449472934</v>
      </c>
      <c r="AU98" s="265">
        <f t="shared" si="3"/>
        <v>1.722929071418089</v>
      </c>
    </row>
    <row r="99" spans="1:47" ht="15">
      <c r="A99">
        <v>5007</v>
      </c>
      <c r="B99" t="s">
        <v>386</v>
      </c>
      <c r="C99">
        <v>75.0977</v>
      </c>
      <c r="D99">
        <v>29072</v>
      </c>
      <c r="E99">
        <v>387.1223752525044</v>
      </c>
      <c r="F99" t="s">
        <v>173</v>
      </c>
      <c r="G99" t="s">
        <v>170</v>
      </c>
      <c r="H99">
        <f>VLOOKUP(CONCATENATE($G99,"-",$F99,"-",$H$2),'Look-ups'!$O$3:$S$34,5,FALSE)*VLOOKUP(CONCATENATE($F99,"-",$H$2,"-",H$3),'Look-ups'!$I$3:$M$24,5,FALSE)</f>
        <v>254</v>
      </c>
      <c r="I99">
        <f>VLOOKUP(CONCATENATE($G99,"-",$F99,"-",$H$2),'Look-ups'!$O$3:$S$34,5,FALSE)*VLOOKUP(CONCATENATE($F99,"-",$H$2,"-",I$3),'Look-ups'!$I$3:$M$24,5,FALSE)</f>
        <v>381</v>
      </c>
      <c r="J99">
        <f>VLOOKUP(CONCATENATE($G99,"-",$F99,"-",$H$2),'Look-ups'!$O$3:$S$34,5,FALSE)*VLOOKUP(CONCATENATE($F99,"-",$H$2,"-",J$3),'Look-ups'!$I$3:$M$24,5,FALSE)</f>
        <v>444.5</v>
      </c>
      <c r="K99">
        <f>VLOOKUP(CONCATENATE($G99,"-",$F99,"-",$H$2),'Look-ups'!$O$3:$S$34,5,FALSE)*VLOOKUP(CONCATENATE($F99,"-",$H$2,"-",K$3),'Look-ups'!$I$3:$M$24,5,FALSE)</f>
        <v>571.5</v>
      </c>
      <c r="L99">
        <f>VLOOKUP(CONCATENATE($G99,"-",$F99,"-",$H$2),'Look-ups'!$O$3:$S$34,5,FALSE)*VLOOKUP(CONCATENATE($F99,"-",$H$2,"-",L$3),'Look-ups'!$I$3:$M$24,5,FALSE)</f>
        <v>635</v>
      </c>
      <c r="M99">
        <f>VLOOKUP(CONCATENATE($G99,"-",$F99,"-",$H$2),'Look-ups'!$O$3:$S$34,5,FALSE)*VLOOKUP(CONCATENATE($F99,"-",$H$2,"-",M$3),'Look-ups'!$I$3:$M$24,5,FALSE)</f>
        <v>698.5</v>
      </c>
      <c r="N99">
        <f>VLOOKUP(CONCATENATE($G99,"-",$F99,"-",$N$2),'Look-ups'!$O$3:$S$34,5,FALSE)*VLOOKUP(CONCATENATE($F99,"-",$N$2,"-",N$3),'Look-ups'!$I$3:$M$24,5,FALSE)</f>
        <v>255.75</v>
      </c>
      <c r="O99">
        <f>VLOOKUP(CONCATENATE($G99,"-",$F99,"-",$N$2),'Look-ups'!$O$3:$S$34,5,FALSE)*VLOOKUP(CONCATENATE($F99,"-",$N$2,"-",O$3),'Look-ups'!$I$3:$M$24,5,FALSE)</f>
        <v>255.75</v>
      </c>
      <c r="P99">
        <f>VLOOKUP(CONCATENATE($G99,"-",$F99,"-",$N$2),'Look-ups'!$O$3:$S$34,5,FALSE)*VLOOKUP(CONCATENATE($F99,"-",$N$2,"-",P$3),'Look-ups'!$I$3:$M$24,5,FALSE)</f>
        <v>341</v>
      </c>
      <c r="Q99">
        <f>VLOOKUP(CONCATENATE($G99,"-",$F99,"-",$N$2),'Look-ups'!$O$3:$S$34,5,FALSE)*VLOOKUP(CONCATENATE($F99,"-",$N$2,"-",Q$3),'Look-ups'!$I$3:$M$24,5,FALSE)</f>
        <v>438.42857142857144</v>
      </c>
      <c r="R99">
        <f>VLOOKUP(CONCATENATE($G99,"-",$F99,"-",$N$2),'Look-ups'!$O$3:$S$34,5,FALSE)*VLOOKUP(CONCATENATE($F99,"-",$N$2,"-",R$3),'Look-ups'!$I$3:$M$24,5,FALSE)</f>
        <v>499.32142857142856</v>
      </c>
      <c r="S99" s="117">
        <f>VLOOKUP(CONCATENATE($G99,"-",$F99,"-Lone Person"),'Look-ups'!$Y$4:$AG$35,5,FALSE)</f>
        <v>107.06</v>
      </c>
      <c r="T99">
        <f>VLOOKUP(CONCATENATE($G99,"-",$F99,"-Lone Person"),'Look-ups'!$Y$4:$AG$35,6,FALSE)</f>
        <v>153.70000000000002</v>
      </c>
      <c r="U99">
        <f>VLOOKUP(CONCATENATE($G99,"-",$F99,"-Lone Person"),'Look-ups'!$Y$4:$AG$35,7,FALSE)</f>
        <v>184.44</v>
      </c>
      <c r="V99">
        <f>VLOOKUP(CONCATENATE($G99,"-",$F99,"-Lone Person"),'Look-ups'!$Y$4:$AG$35,8,FALSE)</f>
        <v>225.78</v>
      </c>
      <c r="W99">
        <f>VLOOKUP(CONCATENATE($G99,"-",$F99,"-Lone Person"),'Look-ups'!$Y$4:$AG$35,9,FALSE)</f>
        <v>214.12</v>
      </c>
      <c r="X99" s="117">
        <f>VLOOKUP(CONCATENATE($G99,"-",$F99,"-Couple Only"),'Look-ups'!$Y$4:$AG$35,5,FALSE)</f>
        <v>173.84</v>
      </c>
      <c r="Y99">
        <f>VLOOKUP(CONCATENATE($G99,"-",$F99,"-Couple Only"),'Look-ups'!$Y$4:$AG$35,6,FALSE)</f>
        <v>164.3</v>
      </c>
      <c r="Z99">
        <f>VLOOKUP(CONCATENATE($G99,"-",$F99,"-Couple Only"),'Look-ups'!$Y$4:$AG$35,7,FALSE)</f>
        <v>185.5</v>
      </c>
      <c r="AA99">
        <f>VLOOKUP(CONCATENATE($G99,"-",$F99,"-Couple Only"),'Look-ups'!$Y$4:$AG$35,8,FALSE)</f>
        <v>205.64000000000001</v>
      </c>
      <c r="AB99">
        <f>VLOOKUP(CONCATENATE($G99,"-",$F99,"-Couple Only"),'Look-ups'!$Y$4:$AG$35,9,FALSE)</f>
        <v>258.64</v>
      </c>
      <c r="AC99">
        <v>44</v>
      </c>
      <c r="AD99" t="s">
        <v>170</v>
      </c>
      <c r="AE99" s="260">
        <f>VLOOKUP($AD99,'Look-ups'!$A$122:$G$130,5,FALSE)</f>
        <v>0.12385321100917432</v>
      </c>
      <c r="AF99" s="260">
        <f>VLOOKUP($AD99,'Look-ups'!$A$122:$G$130,6,FALSE)</f>
        <v>0.28440366972477066</v>
      </c>
      <c r="AG99" s="260">
        <f>VLOOKUP($AD99,'Look-ups'!$A$122:$G$130,7,FALSE)</f>
        <v>0.591743119266055</v>
      </c>
      <c r="AH99" s="264">
        <f>VLOOKUP($AC99,'Look-ups'!$A$50:$AO$118,'Look-ups'!$B$133*4,FALSE)*0.277778</f>
        <v>21.47576078469246</v>
      </c>
      <c r="AI99" s="264">
        <f>VLOOKUP($AC99,'Look-ups'!$A$50:$AO$118,'Look-ups'!$B$133*4+1,FALSE)*0.277778</f>
        <v>37.41317521530755</v>
      </c>
      <c r="AJ99" s="264">
        <f>AE99*$AH99/'Look-ups'!$B$141</f>
        <v>3.4769175582340743</v>
      </c>
      <c r="AK99" s="264">
        <f>AF99*$AH99/'Look-ups'!$B$140</f>
        <v>8.366829009997064</v>
      </c>
      <c r="AL99" s="264">
        <f>AG99*$AH99/'Look-ups'!$B$137</f>
        <v>2.4205968905420074</v>
      </c>
      <c r="AM99" s="264">
        <f>AI99/'Look-ups'!$B$136</f>
        <v>7.876457940064746</v>
      </c>
      <c r="AN99" s="263">
        <f>AJ99*VLOOKUP($AD99,'Look-ups'!$A$123:$M$130,10,FALSE)</f>
        <v>0.9435967928874139</v>
      </c>
      <c r="AO99" s="263">
        <f>AK99*VLOOKUP($AD99,'Look-ups'!$A$123:$M$130,9,FALSE)</f>
        <v>4.854835799392776</v>
      </c>
      <c r="AP99" s="263">
        <f>(AL99+AM99)*VLOOKUP($AD99,'Look-ups'!$A$123:$M$130,8,FALSE)</f>
        <v>3.0953461673545433</v>
      </c>
      <c r="AQ99" s="263">
        <f t="shared" si="2"/>
        <v>8.893778759634733</v>
      </c>
      <c r="AR99" s="265">
        <f>AJ99*VLOOKUP($AD99,'Look-ups'!$A$123:$M$130,11,FALSE)</f>
        <v>0.015020704431295277</v>
      </c>
      <c r="AS99" s="265">
        <f>AK99*VLOOKUP($AD99,'Look-ups'!$A$123:$M$130,12,FALSE)</f>
        <v>1.5521571763874742</v>
      </c>
      <c r="AT99" s="265">
        <f>(AL99+AM99)*VLOOKUP($AD99,'Look-ups'!$A$123:$M$130,13,FALSE)</f>
        <v>2.0800050757825645</v>
      </c>
      <c r="AU99" s="265">
        <f t="shared" si="3"/>
        <v>3.647182956601334</v>
      </c>
    </row>
    <row r="100" spans="1:47" ht="15">
      <c r="A100">
        <v>5008</v>
      </c>
      <c r="B100" t="s">
        <v>387</v>
      </c>
      <c r="C100">
        <v>134.2041</v>
      </c>
      <c r="D100">
        <v>17013</v>
      </c>
      <c r="E100">
        <v>126.76959943846722</v>
      </c>
      <c r="F100" t="s">
        <v>173</v>
      </c>
      <c r="G100" t="s">
        <v>170</v>
      </c>
      <c r="H100">
        <f>VLOOKUP(CONCATENATE($G100,"-",$F100,"-",$H$2),'Look-ups'!$O$3:$S$34,5,FALSE)*VLOOKUP(CONCATENATE($F100,"-",$H$2,"-",H$3),'Look-ups'!$I$3:$M$24,5,FALSE)</f>
        <v>254</v>
      </c>
      <c r="I100">
        <f>VLOOKUP(CONCATENATE($G100,"-",$F100,"-",$H$2),'Look-ups'!$O$3:$S$34,5,FALSE)*VLOOKUP(CONCATENATE($F100,"-",$H$2,"-",I$3),'Look-ups'!$I$3:$M$24,5,FALSE)</f>
        <v>381</v>
      </c>
      <c r="J100">
        <f>VLOOKUP(CONCATENATE($G100,"-",$F100,"-",$H$2),'Look-ups'!$O$3:$S$34,5,FALSE)*VLOOKUP(CONCATENATE($F100,"-",$H$2,"-",J$3),'Look-ups'!$I$3:$M$24,5,FALSE)</f>
        <v>444.5</v>
      </c>
      <c r="K100">
        <f>VLOOKUP(CONCATENATE($G100,"-",$F100,"-",$H$2),'Look-ups'!$O$3:$S$34,5,FALSE)*VLOOKUP(CONCATENATE($F100,"-",$H$2,"-",K$3),'Look-ups'!$I$3:$M$24,5,FALSE)</f>
        <v>571.5</v>
      </c>
      <c r="L100">
        <f>VLOOKUP(CONCATENATE($G100,"-",$F100,"-",$H$2),'Look-ups'!$O$3:$S$34,5,FALSE)*VLOOKUP(CONCATENATE($F100,"-",$H$2,"-",L$3),'Look-ups'!$I$3:$M$24,5,FALSE)</f>
        <v>635</v>
      </c>
      <c r="M100">
        <f>VLOOKUP(CONCATENATE($G100,"-",$F100,"-",$H$2),'Look-ups'!$O$3:$S$34,5,FALSE)*VLOOKUP(CONCATENATE($F100,"-",$H$2,"-",M$3),'Look-ups'!$I$3:$M$24,5,FALSE)</f>
        <v>698.5</v>
      </c>
      <c r="N100">
        <f>VLOOKUP(CONCATENATE($G100,"-",$F100,"-",$N$2),'Look-ups'!$O$3:$S$34,5,FALSE)*VLOOKUP(CONCATENATE($F100,"-",$N$2,"-",N$3),'Look-ups'!$I$3:$M$24,5,FALSE)</f>
        <v>255.75</v>
      </c>
      <c r="O100">
        <f>VLOOKUP(CONCATENATE($G100,"-",$F100,"-",$N$2),'Look-ups'!$O$3:$S$34,5,FALSE)*VLOOKUP(CONCATENATE($F100,"-",$N$2,"-",O$3),'Look-ups'!$I$3:$M$24,5,FALSE)</f>
        <v>255.75</v>
      </c>
      <c r="P100">
        <f>VLOOKUP(CONCATENATE($G100,"-",$F100,"-",$N$2),'Look-ups'!$O$3:$S$34,5,FALSE)*VLOOKUP(CONCATENATE($F100,"-",$N$2,"-",P$3),'Look-ups'!$I$3:$M$24,5,FALSE)</f>
        <v>341</v>
      </c>
      <c r="Q100">
        <f>VLOOKUP(CONCATENATE($G100,"-",$F100,"-",$N$2),'Look-ups'!$O$3:$S$34,5,FALSE)*VLOOKUP(CONCATENATE($F100,"-",$N$2,"-",Q$3),'Look-ups'!$I$3:$M$24,5,FALSE)</f>
        <v>438.42857142857144</v>
      </c>
      <c r="R100">
        <f>VLOOKUP(CONCATENATE($G100,"-",$F100,"-",$N$2),'Look-ups'!$O$3:$S$34,5,FALSE)*VLOOKUP(CONCATENATE($F100,"-",$N$2,"-",R$3),'Look-ups'!$I$3:$M$24,5,FALSE)</f>
        <v>499.32142857142856</v>
      </c>
      <c r="S100" s="117">
        <f>VLOOKUP(CONCATENATE($G100,"-",$F100,"-Lone Person"),'Look-ups'!$Y$4:$AG$35,5,FALSE)</f>
        <v>107.06</v>
      </c>
      <c r="T100">
        <f>VLOOKUP(CONCATENATE($G100,"-",$F100,"-Lone Person"),'Look-ups'!$Y$4:$AG$35,6,FALSE)</f>
        <v>153.70000000000002</v>
      </c>
      <c r="U100">
        <f>VLOOKUP(CONCATENATE($G100,"-",$F100,"-Lone Person"),'Look-ups'!$Y$4:$AG$35,7,FALSE)</f>
        <v>184.44</v>
      </c>
      <c r="V100">
        <f>VLOOKUP(CONCATENATE($G100,"-",$F100,"-Lone Person"),'Look-ups'!$Y$4:$AG$35,8,FALSE)</f>
        <v>225.78</v>
      </c>
      <c r="W100">
        <f>VLOOKUP(CONCATENATE($G100,"-",$F100,"-Lone Person"),'Look-ups'!$Y$4:$AG$35,9,FALSE)</f>
        <v>214.12</v>
      </c>
      <c r="X100" s="117">
        <f>VLOOKUP(CONCATENATE($G100,"-",$F100,"-Couple Only"),'Look-ups'!$Y$4:$AG$35,5,FALSE)</f>
        <v>173.84</v>
      </c>
      <c r="Y100">
        <f>VLOOKUP(CONCATENATE($G100,"-",$F100,"-Couple Only"),'Look-ups'!$Y$4:$AG$35,6,FALSE)</f>
        <v>164.3</v>
      </c>
      <c r="Z100">
        <f>VLOOKUP(CONCATENATE($G100,"-",$F100,"-Couple Only"),'Look-ups'!$Y$4:$AG$35,7,FALSE)</f>
        <v>185.5</v>
      </c>
      <c r="AA100">
        <f>VLOOKUP(CONCATENATE($G100,"-",$F100,"-Couple Only"),'Look-ups'!$Y$4:$AG$35,8,FALSE)</f>
        <v>205.64000000000001</v>
      </c>
      <c r="AB100">
        <f>VLOOKUP(CONCATENATE($G100,"-",$F100,"-Couple Only"),'Look-ups'!$Y$4:$AG$35,9,FALSE)</f>
        <v>258.64</v>
      </c>
      <c r="AC100">
        <v>2</v>
      </c>
      <c r="AD100" t="s">
        <v>170</v>
      </c>
      <c r="AE100" s="260">
        <f>VLOOKUP($AD100,'Look-ups'!$A$122:$G$130,5,FALSE)</f>
        <v>0.12385321100917432</v>
      </c>
      <c r="AF100" s="260">
        <f>VLOOKUP($AD100,'Look-ups'!$A$122:$G$130,6,FALSE)</f>
        <v>0.28440366972477066</v>
      </c>
      <c r="AG100" s="260">
        <f>VLOOKUP($AD100,'Look-ups'!$A$122:$G$130,7,FALSE)</f>
        <v>0.591743119266055</v>
      </c>
      <c r="AH100" s="264">
        <f>VLOOKUP($AC100,'Look-ups'!$A$50:$AO$118,'Look-ups'!$B$133*4,FALSE)*0.277778</f>
        <v>0.1392995847384992</v>
      </c>
      <c r="AI100" s="264">
        <f>VLOOKUP($AC100,'Look-ups'!$A$50:$AO$118,'Look-ups'!$B$133*4+1,FALSE)*0.277778</f>
        <v>112.3607904152615</v>
      </c>
      <c r="AJ100" s="264">
        <f>AE100*$AH100/'Look-ups'!$B$141</f>
        <v>0.022552550146546016</v>
      </c>
      <c r="AK100" s="264">
        <f>AF100*$AH100/'Look-ups'!$B$140</f>
        <v>0.054270291905158675</v>
      </c>
      <c r="AL100" s="264">
        <f>AG100*$AH100/'Look-ups'!$B$137</f>
        <v>0.015700870625833464</v>
      </c>
      <c r="AM100" s="264">
        <f>AI100/'Look-ups'!$B$136</f>
        <v>23.654903245318213</v>
      </c>
      <c r="AN100" s="263">
        <f>AJ100*VLOOKUP($AD100,'Look-ups'!$A$123:$M$130,10,FALSE)</f>
        <v>0.006120511525882071</v>
      </c>
      <c r="AO100" s="263">
        <f>AK100*VLOOKUP($AD100,'Look-ups'!$A$123:$M$130,9,FALSE)</f>
        <v>0.03149022833738451</v>
      </c>
      <c r="AP100" s="263">
        <f>(AL100+AM100)*VLOOKUP($AD100,'Look-ups'!$A$123:$M$130,8,FALSE)</f>
        <v>7.11550195027336</v>
      </c>
      <c r="AQ100" s="263">
        <f t="shared" si="2"/>
        <v>7.153112690136626</v>
      </c>
      <c r="AR100" s="265">
        <f>AJ100*VLOOKUP($AD100,'Look-ups'!$A$123:$M$130,11,FALSE)</f>
        <v>9.742974466592943E-05</v>
      </c>
      <c r="AS100" s="265">
        <f>AK100*VLOOKUP($AD100,'Look-ups'!$A$123:$M$130,12,FALSE)</f>
        <v>0.010067855210688075</v>
      </c>
      <c r="AT100" s="265">
        <f>(AL100+AM100)*VLOOKUP($AD100,'Look-ups'!$A$123:$M$130,13,FALSE)</f>
        <v>4.7814620314206975</v>
      </c>
      <c r="AU100" s="265">
        <f t="shared" si="3"/>
        <v>4.791627316376052</v>
      </c>
    </row>
    <row r="101" spans="1:47" ht="15">
      <c r="A101">
        <v>5009</v>
      </c>
      <c r="B101" t="s">
        <v>388</v>
      </c>
      <c r="C101">
        <v>3893.12809999999</v>
      </c>
      <c r="D101">
        <v>2098239</v>
      </c>
      <c r="E101">
        <v>538.9596607417068</v>
      </c>
      <c r="F101" t="s">
        <v>172</v>
      </c>
      <c r="G101" t="s">
        <v>170</v>
      </c>
      <c r="H101">
        <f>VLOOKUP(CONCATENATE($G101,"-",$F101,"-",$H$2),'Look-ups'!$O$3:$S$34,5,FALSE)*VLOOKUP(CONCATENATE($F101,"-",$H$2,"-",H$3),'Look-ups'!$I$3:$M$24,5,FALSE)</f>
        <v>281.25</v>
      </c>
      <c r="I101">
        <f>VLOOKUP(CONCATENATE($G101,"-",$F101,"-",$H$2),'Look-ups'!$O$3:$S$34,5,FALSE)*VLOOKUP(CONCATENATE($F101,"-",$H$2,"-",I$3),'Look-ups'!$I$3:$M$24,5,FALSE)</f>
        <v>405</v>
      </c>
      <c r="J101">
        <f>VLOOKUP(CONCATENATE($G101,"-",$F101,"-",$H$2),'Look-ups'!$O$3:$S$34,5,FALSE)*VLOOKUP(CONCATENATE($F101,"-",$H$2,"-",J$3),'Look-ups'!$I$3:$M$24,5,FALSE)</f>
        <v>495.00000000000006</v>
      </c>
      <c r="K101">
        <f>VLOOKUP(CONCATENATE($G101,"-",$F101,"-",$H$2),'Look-ups'!$O$3:$S$34,5,FALSE)*VLOOKUP(CONCATENATE($F101,"-",$H$2,"-",K$3),'Look-ups'!$I$3:$M$24,5,FALSE)</f>
        <v>630</v>
      </c>
      <c r="L101">
        <f>VLOOKUP(CONCATENATE($G101,"-",$F101,"-",$H$2),'Look-ups'!$O$3:$S$34,5,FALSE)*VLOOKUP(CONCATENATE($F101,"-",$H$2,"-",L$3),'Look-ups'!$I$3:$M$24,5,FALSE)</f>
        <v>759.375</v>
      </c>
      <c r="M101">
        <f>VLOOKUP(CONCATENATE($G101,"-",$F101,"-",$H$2),'Look-ups'!$O$3:$S$34,5,FALSE)*VLOOKUP(CONCATENATE($F101,"-",$H$2,"-",M$3),'Look-ups'!$I$3:$M$24,5,FALSE)</f>
        <v>843.7500000000001</v>
      </c>
      <c r="N101">
        <f>VLOOKUP(CONCATENATE($G101,"-",$F101,"-",$N$2),'Look-ups'!$O$3:$S$34,5,FALSE)*VLOOKUP(CONCATENATE($F101,"-",$N$2,"-",N$3),'Look-ups'!$I$3:$M$24,5,FALSE)</f>
        <v>221.86666666666667</v>
      </c>
      <c r="O101">
        <f>VLOOKUP(CONCATENATE($G101,"-",$F101,"-",$N$2),'Look-ups'!$O$3:$S$34,5,FALSE)*VLOOKUP(CONCATENATE($F101,"-",$N$2,"-",O$3),'Look-ups'!$I$3:$M$24,5,FALSE)</f>
        <v>298.6666666666667</v>
      </c>
      <c r="P101">
        <f>VLOOKUP(CONCATENATE($G101,"-",$F101,"-",$N$2),'Look-ups'!$O$3:$S$34,5,FALSE)*VLOOKUP(CONCATENATE($F101,"-",$N$2,"-",P$3),'Look-ups'!$I$3:$M$24,5,FALSE)</f>
        <v>320</v>
      </c>
      <c r="Q101">
        <f>VLOOKUP(CONCATENATE($G101,"-",$F101,"-",$N$2),'Look-ups'!$O$3:$S$34,5,FALSE)*VLOOKUP(CONCATENATE($F101,"-",$N$2,"-",Q$3),'Look-ups'!$I$3:$M$24,5,FALSE)</f>
        <v>418.1333333333333</v>
      </c>
      <c r="R101">
        <f>VLOOKUP(CONCATENATE($G101,"-",$F101,"-",$N$2),'Look-ups'!$O$3:$S$34,5,FALSE)*VLOOKUP(CONCATENATE($F101,"-",$N$2,"-",R$3),'Look-ups'!$I$3:$M$24,5,FALSE)</f>
        <v>469.3333333333333</v>
      </c>
      <c r="S101" s="117">
        <f>VLOOKUP(CONCATENATE($G101,"-",$F101,"-Lone Person"),'Look-ups'!$Y$4:$AG$35,5,FALSE)</f>
        <v>104.94000000000001</v>
      </c>
      <c r="T101">
        <f>VLOOKUP(CONCATENATE($G101,"-",$F101,"-Lone Person"),'Look-ups'!$Y$4:$AG$35,6,FALSE)</f>
        <v>150.52</v>
      </c>
      <c r="U101">
        <f>VLOOKUP(CONCATENATE($G101,"-",$F101,"-Lone Person"),'Look-ups'!$Y$4:$AG$35,7,FALSE)</f>
        <v>180.20000000000002</v>
      </c>
      <c r="V101">
        <f>VLOOKUP(CONCATENATE($G101,"-",$F101,"-Lone Person"),'Look-ups'!$Y$4:$AG$35,8,FALSE)</f>
        <v>220.48000000000002</v>
      </c>
      <c r="W101">
        <f>VLOOKUP(CONCATENATE($G101,"-",$F101,"-Lone Person"),'Look-ups'!$Y$4:$AG$35,9,FALSE)</f>
        <v>208.82000000000002</v>
      </c>
      <c r="X101" s="117">
        <f>VLOOKUP(CONCATENATE($G101,"-",$F101,"-Couple Only"),'Look-ups'!$Y$4:$AG$35,5,FALSE)</f>
        <v>169.60000000000002</v>
      </c>
      <c r="Y101">
        <f>VLOOKUP(CONCATENATE($G101,"-",$F101,"-Couple Only"),'Look-ups'!$Y$4:$AG$35,6,FALSE)</f>
        <v>161.12</v>
      </c>
      <c r="Z101">
        <f>VLOOKUP(CONCATENATE($G101,"-",$F101,"-Couple Only"),'Look-ups'!$Y$4:$AG$35,7,FALSE)</f>
        <v>181.26000000000002</v>
      </c>
      <c r="AA101">
        <f>VLOOKUP(CONCATENATE($G101,"-",$F101,"-Couple Only"),'Look-ups'!$Y$4:$AG$35,8,FALSE)</f>
        <v>201.4</v>
      </c>
      <c r="AB101">
        <f>VLOOKUP(CONCATENATE($G101,"-",$F101,"-Couple Only"),'Look-ups'!$Y$4:$AG$35,9,FALSE)</f>
        <v>252.28</v>
      </c>
      <c r="AC101">
        <v>13</v>
      </c>
      <c r="AD101" t="s">
        <v>170</v>
      </c>
      <c r="AE101" s="260">
        <f>VLOOKUP($AD101,'Look-ups'!$A$122:$G$130,5,FALSE)</f>
        <v>0.12385321100917432</v>
      </c>
      <c r="AF101" s="260">
        <f>VLOOKUP($AD101,'Look-ups'!$A$122:$G$130,6,FALSE)</f>
        <v>0.28440366972477066</v>
      </c>
      <c r="AG101" s="260">
        <f>VLOOKUP($AD101,'Look-ups'!$A$122:$G$130,7,FALSE)</f>
        <v>0.591743119266055</v>
      </c>
      <c r="AH101" s="264">
        <f>VLOOKUP($AC101,'Look-ups'!$A$50:$AO$118,'Look-ups'!$B$133*4,FALSE)*0.277778</f>
        <v>21.648517846680715</v>
      </c>
      <c r="AI101" s="264">
        <f>VLOOKUP($AC101,'Look-ups'!$A$50:$AO$118,'Look-ups'!$B$133*4+1,FALSE)*0.277778</f>
        <v>35.01819415331929</v>
      </c>
      <c r="AJ101" s="264">
        <f>AE101*$AH101/'Look-ups'!$B$141</f>
        <v>3.5048868613082655</v>
      </c>
      <c r="AK101" s="264">
        <f>AF101*$AH101/'Look-ups'!$B$140</f>
        <v>8.434134136572856</v>
      </c>
      <c r="AL101" s="264">
        <f>AG101*$AH101/'Look-ups'!$B$137</f>
        <v>2.4400688529679444</v>
      </c>
      <c r="AM101" s="264">
        <f>AI101/'Look-ups'!$B$136</f>
        <v>7.372251400698798</v>
      </c>
      <c r="AN101" s="263">
        <f>AJ101*VLOOKUP($AD101,'Look-ups'!$A$123:$M$130,10,FALSE)</f>
        <v>0.9511873509717153</v>
      </c>
      <c r="AO101" s="263">
        <f>AK101*VLOOKUP($AD101,'Look-ups'!$A$123:$M$130,9,FALSE)</f>
        <v>4.893889464478127</v>
      </c>
      <c r="AP101" s="263">
        <f>(AL101+AM101)*VLOOKUP($AD101,'Look-ups'!$A$123:$M$130,8,FALSE)</f>
        <v>2.949632529853491</v>
      </c>
      <c r="AQ101" s="263">
        <f t="shared" si="2"/>
        <v>8.794709345303332</v>
      </c>
      <c r="AR101" s="265">
        <f>AJ101*VLOOKUP($AD101,'Look-ups'!$A$123:$M$130,11,FALSE)</f>
        <v>0.015141535203837413</v>
      </c>
      <c r="AS101" s="265">
        <f>AK101*VLOOKUP($AD101,'Look-ups'!$A$123:$M$130,12,FALSE)</f>
        <v>1.5646431654159891</v>
      </c>
      <c r="AT101" s="265">
        <f>(AL101+AM101)*VLOOKUP($AD101,'Look-ups'!$A$123:$M$130,13,FALSE)</f>
        <v>1.982088691240682</v>
      </c>
      <c r="AU101" s="265">
        <f t="shared" si="3"/>
        <v>3.5618733918605088</v>
      </c>
    </row>
    <row r="102" spans="1:47" ht="15">
      <c r="A102">
        <v>5010</v>
      </c>
      <c r="B102" t="s">
        <v>389</v>
      </c>
      <c r="C102">
        <v>116.432299999999</v>
      </c>
      <c r="D102">
        <v>15298</v>
      </c>
      <c r="E102">
        <v>131.38965733735512</v>
      </c>
      <c r="F102" t="s">
        <v>173</v>
      </c>
      <c r="G102" t="s">
        <v>170</v>
      </c>
      <c r="H102">
        <f>VLOOKUP(CONCATENATE($G102,"-",$F102,"-",$H$2),'Look-ups'!$O$3:$S$34,5,FALSE)*VLOOKUP(CONCATENATE($F102,"-",$H$2,"-",H$3),'Look-ups'!$I$3:$M$24,5,FALSE)</f>
        <v>254</v>
      </c>
      <c r="I102">
        <f>VLOOKUP(CONCATENATE($G102,"-",$F102,"-",$H$2),'Look-ups'!$O$3:$S$34,5,FALSE)*VLOOKUP(CONCATENATE($F102,"-",$H$2,"-",I$3),'Look-ups'!$I$3:$M$24,5,FALSE)</f>
        <v>381</v>
      </c>
      <c r="J102">
        <f>VLOOKUP(CONCATENATE($G102,"-",$F102,"-",$H$2),'Look-ups'!$O$3:$S$34,5,FALSE)*VLOOKUP(CONCATENATE($F102,"-",$H$2,"-",J$3),'Look-ups'!$I$3:$M$24,5,FALSE)</f>
        <v>444.5</v>
      </c>
      <c r="K102">
        <f>VLOOKUP(CONCATENATE($G102,"-",$F102,"-",$H$2),'Look-ups'!$O$3:$S$34,5,FALSE)*VLOOKUP(CONCATENATE($F102,"-",$H$2,"-",K$3),'Look-ups'!$I$3:$M$24,5,FALSE)</f>
        <v>571.5</v>
      </c>
      <c r="L102">
        <f>VLOOKUP(CONCATENATE($G102,"-",$F102,"-",$H$2),'Look-ups'!$O$3:$S$34,5,FALSE)*VLOOKUP(CONCATENATE($F102,"-",$H$2,"-",L$3),'Look-ups'!$I$3:$M$24,5,FALSE)</f>
        <v>635</v>
      </c>
      <c r="M102">
        <f>VLOOKUP(CONCATENATE($G102,"-",$F102,"-",$H$2),'Look-ups'!$O$3:$S$34,5,FALSE)*VLOOKUP(CONCATENATE($F102,"-",$H$2,"-",M$3),'Look-ups'!$I$3:$M$24,5,FALSE)</f>
        <v>698.5</v>
      </c>
      <c r="N102">
        <f>VLOOKUP(CONCATENATE($G102,"-",$F102,"-",$N$2),'Look-ups'!$O$3:$S$34,5,FALSE)*VLOOKUP(CONCATENATE($F102,"-",$N$2,"-",N$3),'Look-ups'!$I$3:$M$24,5,FALSE)</f>
        <v>255.75</v>
      </c>
      <c r="O102">
        <f>VLOOKUP(CONCATENATE($G102,"-",$F102,"-",$N$2),'Look-ups'!$O$3:$S$34,5,FALSE)*VLOOKUP(CONCATENATE($F102,"-",$N$2,"-",O$3),'Look-ups'!$I$3:$M$24,5,FALSE)</f>
        <v>255.75</v>
      </c>
      <c r="P102">
        <f>VLOOKUP(CONCATENATE($G102,"-",$F102,"-",$N$2),'Look-ups'!$O$3:$S$34,5,FALSE)*VLOOKUP(CONCATENATE($F102,"-",$N$2,"-",P$3),'Look-ups'!$I$3:$M$24,5,FALSE)</f>
        <v>341</v>
      </c>
      <c r="Q102">
        <f>VLOOKUP(CONCATENATE($G102,"-",$F102,"-",$N$2),'Look-ups'!$O$3:$S$34,5,FALSE)*VLOOKUP(CONCATENATE($F102,"-",$N$2,"-",Q$3),'Look-ups'!$I$3:$M$24,5,FALSE)</f>
        <v>438.42857142857144</v>
      </c>
      <c r="R102">
        <f>VLOOKUP(CONCATENATE($G102,"-",$F102,"-",$N$2),'Look-ups'!$O$3:$S$34,5,FALSE)*VLOOKUP(CONCATENATE($F102,"-",$N$2,"-",R$3),'Look-ups'!$I$3:$M$24,5,FALSE)</f>
        <v>499.32142857142856</v>
      </c>
      <c r="S102" s="117">
        <f>VLOOKUP(CONCATENATE($G102,"-",$F102,"-Lone Person"),'Look-ups'!$Y$4:$AG$35,5,FALSE)</f>
        <v>107.06</v>
      </c>
      <c r="T102">
        <f>VLOOKUP(CONCATENATE($G102,"-",$F102,"-Lone Person"),'Look-ups'!$Y$4:$AG$35,6,FALSE)</f>
        <v>153.70000000000002</v>
      </c>
      <c r="U102">
        <f>VLOOKUP(CONCATENATE($G102,"-",$F102,"-Lone Person"),'Look-ups'!$Y$4:$AG$35,7,FALSE)</f>
        <v>184.44</v>
      </c>
      <c r="V102">
        <f>VLOOKUP(CONCATENATE($G102,"-",$F102,"-Lone Person"),'Look-ups'!$Y$4:$AG$35,8,FALSE)</f>
        <v>225.78</v>
      </c>
      <c r="W102">
        <f>VLOOKUP(CONCATENATE($G102,"-",$F102,"-Lone Person"),'Look-ups'!$Y$4:$AG$35,9,FALSE)</f>
        <v>214.12</v>
      </c>
      <c r="X102" s="117">
        <f>VLOOKUP(CONCATENATE($G102,"-",$F102,"-Couple Only"),'Look-ups'!$Y$4:$AG$35,5,FALSE)</f>
        <v>173.84</v>
      </c>
      <c r="Y102">
        <f>VLOOKUP(CONCATENATE($G102,"-",$F102,"-Couple Only"),'Look-ups'!$Y$4:$AG$35,6,FALSE)</f>
        <v>164.3</v>
      </c>
      <c r="Z102">
        <f>VLOOKUP(CONCATENATE($G102,"-",$F102,"-Couple Only"),'Look-ups'!$Y$4:$AG$35,7,FALSE)</f>
        <v>185.5</v>
      </c>
      <c r="AA102">
        <f>VLOOKUP(CONCATENATE($G102,"-",$F102,"-Couple Only"),'Look-ups'!$Y$4:$AG$35,8,FALSE)</f>
        <v>205.64000000000001</v>
      </c>
      <c r="AB102">
        <f>VLOOKUP(CONCATENATE($G102,"-",$F102,"-Couple Only"),'Look-ups'!$Y$4:$AG$35,9,FALSE)</f>
        <v>258.64</v>
      </c>
      <c r="AC102">
        <v>2</v>
      </c>
      <c r="AD102" t="s">
        <v>168</v>
      </c>
      <c r="AE102" s="260">
        <f>VLOOKUP($AD102,'Look-ups'!$A$122:$G$130,5,FALSE)</f>
        <v>0.3</v>
      </c>
      <c r="AF102" s="260">
        <f>VLOOKUP($AD102,'Look-ups'!$A$122:$G$130,6,FALSE)</f>
        <v>0.09285714285714286</v>
      </c>
      <c r="AG102" s="260">
        <f>VLOOKUP($AD102,'Look-ups'!$A$122:$G$130,7,FALSE)</f>
        <v>0.6071428571428571</v>
      </c>
      <c r="AH102" s="264">
        <f>VLOOKUP($AC102,'Look-ups'!$A$50:$AO$118,'Look-ups'!$B$133*4,FALSE)*0.277778</f>
        <v>0.1392995847384992</v>
      </c>
      <c r="AI102" s="264">
        <f>VLOOKUP($AC102,'Look-ups'!$A$50:$AO$118,'Look-ups'!$B$133*4+1,FALSE)*0.277778</f>
        <v>112.3607904152615</v>
      </c>
      <c r="AJ102" s="264">
        <f>AE102*$AH102/'Look-ups'!$B$141</f>
        <v>0.0546272881327448</v>
      </c>
      <c r="AK102" s="264">
        <f>AF102*$AH102/'Look-ups'!$B$140</f>
        <v>0.017719125260278766</v>
      </c>
      <c r="AL102" s="264">
        <f>AG102*$AH102/'Look-ups'!$B$137</f>
        <v>0.016109475786084942</v>
      </c>
      <c r="AM102" s="264">
        <f>AI102/'Look-ups'!$B$136</f>
        <v>23.654903245318213</v>
      </c>
      <c r="AN102" s="263">
        <f>AJ102*VLOOKUP($AD102,'Look-ups'!$A$123:$M$130,10,FALSE)</f>
        <v>0.014825239029358794</v>
      </c>
      <c r="AO102" s="263">
        <f>AK102*VLOOKUP($AD102,'Look-ups'!$A$123:$M$130,9,FALSE)</f>
        <v>0.0026599950840730485</v>
      </c>
      <c r="AP102" s="263">
        <f>(AL102+AM102)*VLOOKUP($AD102,'Look-ups'!$A$123:$M$130,8,FALSE)</f>
        <v>6.540537524968328</v>
      </c>
      <c r="AQ102" s="263">
        <f t="shared" si="2"/>
        <v>6.5580227590817595</v>
      </c>
      <c r="AR102" s="265">
        <f>AJ102*VLOOKUP($AD102,'Look-ups'!$A$123:$M$130,11,FALSE)</f>
        <v>0.00023599649263525129</v>
      </c>
      <c r="AS102" s="265">
        <f>AK102*VLOOKUP($AD102,'Look-ups'!$A$123:$M$130,12,FALSE)</f>
        <v>0.003287131528466591</v>
      </c>
      <c r="AT102" s="265">
        <f>(AL102+AM102)*VLOOKUP($AD102,'Look-ups'!$A$123:$M$130,13,FALSE)</f>
        <v>0.0875827470680859</v>
      </c>
      <c r="AU102" s="265">
        <f t="shared" si="3"/>
        <v>0.09110587508918774</v>
      </c>
    </row>
    <row r="103" spans="1:47" ht="15">
      <c r="A103">
        <v>6000</v>
      </c>
      <c r="B103" t="s">
        <v>390</v>
      </c>
      <c r="C103">
        <v>65881.8886999999</v>
      </c>
      <c r="D103">
        <v>165335</v>
      </c>
      <c r="E103">
        <v>2.5095667908500667</v>
      </c>
      <c r="F103" t="s">
        <v>173</v>
      </c>
      <c r="G103" t="s">
        <v>168</v>
      </c>
      <c r="H103">
        <f>VLOOKUP(CONCATENATE($G103,"-",$F103,"-",$H$2),'Look-ups'!$O$3:$S$34,5,FALSE)*VLOOKUP(CONCATENATE($F103,"-",$H$2,"-",H$3),'Look-ups'!$I$3:$M$24,5,FALSE)</f>
        <v>248.66666666666666</v>
      </c>
      <c r="I103">
        <f>VLOOKUP(CONCATENATE($G103,"-",$F103,"-",$H$2),'Look-ups'!$O$3:$S$34,5,FALSE)*VLOOKUP(CONCATENATE($F103,"-",$H$2,"-",I$3),'Look-ups'!$I$3:$M$24,5,FALSE)</f>
        <v>373</v>
      </c>
      <c r="J103">
        <f>VLOOKUP(CONCATENATE($G103,"-",$F103,"-",$H$2),'Look-ups'!$O$3:$S$34,5,FALSE)*VLOOKUP(CONCATENATE($F103,"-",$H$2,"-",J$3),'Look-ups'!$I$3:$M$24,5,FALSE)</f>
        <v>435.1666666666667</v>
      </c>
      <c r="K103">
        <f>VLOOKUP(CONCATENATE($G103,"-",$F103,"-",$H$2),'Look-ups'!$O$3:$S$34,5,FALSE)*VLOOKUP(CONCATENATE($F103,"-",$H$2,"-",K$3),'Look-ups'!$I$3:$M$24,5,FALSE)</f>
        <v>559.5</v>
      </c>
      <c r="L103">
        <f>VLOOKUP(CONCATENATE($G103,"-",$F103,"-",$H$2),'Look-ups'!$O$3:$S$34,5,FALSE)*VLOOKUP(CONCATENATE($F103,"-",$H$2,"-",L$3),'Look-ups'!$I$3:$M$24,5,FALSE)</f>
        <v>621.6666666666667</v>
      </c>
      <c r="M103">
        <f>VLOOKUP(CONCATENATE($G103,"-",$F103,"-",$H$2),'Look-ups'!$O$3:$S$34,5,FALSE)*VLOOKUP(CONCATENATE($F103,"-",$H$2,"-",M$3),'Look-ups'!$I$3:$M$24,5,FALSE)</f>
        <v>683.8333333333333</v>
      </c>
      <c r="N103">
        <f>VLOOKUP(CONCATENATE($G103,"-",$F103,"-",$N$2),'Look-ups'!$O$3:$S$34,5,FALSE)*VLOOKUP(CONCATENATE($F103,"-",$N$2,"-",N$3),'Look-ups'!$I$3:$M$24,5,FALSE)</f>
        <v>248.25</v>
      </c>
      <c r="O103">
        <f>VLOOKUP(CONCATENATE($G103,"-",$F103,"-",$N$2),'Look-ups'!$O$3:$S$34,5,FALSE)*VLOOKUP(CONCATENATE($F103,"-",$N$2,"-",O$3),'Look-ups'!$I$3:$M$24,5,FALSE)</f>
        <v>248.25</v>
      </c>
      <c r="P103">
        <f>VLOOKUP(CONCATENATE($G103,"-",$F103,"-",$N$2),'Look-ups'!$O$3:$S$34,5,FALSE)*VLOOKUP(CONCATENATE($F103,"-",$N$2,"-",P$3),'Look-ups'!$I$3:$M$24,5,FALSE)</f>
        <v>331</v>
      </c>
      <c r="Q103">
        <f>VLOOKUP(CONCATENATE($G103,"-",$F103,"-",$N$2),'Look-ups'!$O$3:$S$34,5,FALSE)*VLOOKUP(CONCATENATE($F103,"-",$N$2,"-",Q$3),'Look-ups'!$I$3:$M$24,5,FALSE)</f>
        <v>425.5714285714286</v>
      </c>
      <c r="R103">
        <f>VLOOKUP(CONCATENATE($G103,"-",$F103,"-",$N$2),'Look-ups'!$O$3:$S$34,5,FALSE)*VLOOKUP(CONCATENATE($F103,"-",$N$2,"-",R$3),'Look-ups'!$I$3:$M$24,5,FALSE)</f>
        <v>484.6785714285714</v>
      </c>
      <c r="S103" s="117">
        <f>VLOOKUP(CONCATENATE($G103,"-",$F103,"-Lone Person"),'Look-ups'!$Y$4:$AG$35,5,FALSE)</f>
        <v>137.8</v>
      </c>
      <c r="T103">
        <f>VLOOKUP(CONCATENATE($G103,"-",$F103,"-Lone Person"),'Look-ups'!$Y$4:$AG$35,6,FALSE)</f>
        <v>196.10000000000002</v>
      </c>
      <c r="U103">
        <f>VLOOKUP(CONCATENATE($G103,"-",$F103,"-Lone Person"),'Look-ups'!$Y$4:$AG$35,7,FALSE)</f>
        <v>235.32000000000002</v>
      </c>
      <c r="V103">
        <f>VLOOKUP(CONCATENATE($G103,"-",$F103,"-Lone Person"),'Look-ups'!$Y$4:$AG$35,8,FALSE)</f>
        <v>288.32</v>
      </c>
      <c r="W103">
        <f>VLOOKUP(CONCATENATE($G103,"-",$F103,"-Lone Person"),'Look-ups'!$Y$4:$AG$35,9,FALSE)</f>
        <v>273.48</v>
      </c>
      <c r="X103" s="117">
        <f>VLOOKUP(CONCATENATE($G103,"-",$F103,"-Couple Only"),'Look-ups'!$Y$4:$AG$35,5,FALSE)</f>
        <v>222.60000000000002</v>
      </c>
      <c r="Y103">
        <f>VLOOKUP(CONCATENATE($G103,"-",$F103,"-Couple Only"),'Look-ups'!$Y$4:$AG$35,6,FALSE)</f>
        <v>209.88000000000002</v>
      </c>
      <c r="Z103">
        <f>VLOOKUP(CONCATENATE($G103,"-",$F103,"-Couple Only"),'Look-ups'!$Y$4:$AG$35,7,FALSE)</f>
        <v>237.44</v>
      </c>
      <c r="AA103">
        <f>VLOOKUP(CONCATENATE($G103,"-",$F103,"-Couple Only"),'Look-ups'!$Y$4:$AG$35,8,FALSE)</f>
        <v>262.88</v>
      </c>
      <c r="AB103">
        <f>VLOOKUP(CONCATENATE($G103,"-",$F103,"-Couple Only"),'Look-ups'!$Y$4:$AG$35,9,FALSE)</f>
        <v>329.66</v>
      </c>
      <c r="AC103">
        <v>26</v>
      </c>
      <c r="AD103" t="s">
        <v>168</v>
      </c>
      <c r="AE103" s="260">
        <f>VLOOKUP($AD103,'Look-ups'!$A$122:$G$130,5,FALSE)</f>
        <v>0.3</v>
      </c>
      <c r="AF103" s="260">
        <f>VLOOKUP($AD103,'Look-ups'!$A$122:$G$130,6,FALSE)</f>
        <v>0.09285714285714286</v>
      </c>
      <c r="AG103" s="260">
        <f>VLOOKUP($AD103,'Look-ups'!$A$122:$G$130,7,FALSE)</f>
        <v>0.6071428571428571</v>
      </c>
      <c r="AH103" s="264">
        <f>VLOOKUP($AC103,'Look-ups'!$A$50:$AO$118,'Look-ups'!$B$133*4,FALSE)*0.277778</f>
        <v>91.03032897478458</v>
      </c>
      <c r="AI103" s="264">
        <f>VLOOKUP($AC103,'Look-ups'!$A$50:$AO$118,'Look-ups'!$B$133*4+1,FALSE)*0.277778</f>
        <v>3.1364130252154223</v>
      </c>
      <c r="AJ103" s="264">
        <f>AE103*$AH103/'Look-ups'!$B$141</f>
        <v>35.69816822540572</v>
      </c>
      <c r="AK103" s="264">
        <f>AF103*$AH103/'Look-ups'!$B$140</f>
        <v>11.579200358827785</v>
      </c>
      <c r="AL103" s="264">
        <f>AG103*$AH103/'Look-ups'!$B$137</f>
        <v>10.527316956267603</v>
      </c>
      <c r="AM103" s="264">
        <f>AI103/'Look-ups'!$B$136</f>
        <v>0.6602974789927205</v>
      </c>
      <c r="AN103" s="263">
        <f>AJ103*VLOOKUP($AD103,'Look-ups'!$A$123:$M$130,10,FALSE)</f>
        <v>9.688086210061496</v>
      </c>
      <c r="AO103" s="263">
        <f>AK103*VLOOKUP($AD103,'Look-ups'!$A$123:$M$130,9,FALSE)</f>
        <v>1.7382695578672271</v>
      </c>
      <c r="AP103" s="263">
        <f>(AL103+AM103)*VLOOKUP($AD103,'Look-ups'!$A$123:$M$130,8,FALSE)</f>
        <v>3.09124974460678</v>
      </c>
      <c r="AQ103" s="263">
        <f t="shared" si="2"/>
        <v>14.517605512535503</v>
      </c>
      <c r="AR103" s="265">
        <f>AJ103*VLOOKUP($AD103,'Look-ups'!$A$123:$M$130,11,FALSE)</f>
        <v>0.15422040490509006</v>
      </c>
      <c r="AS103" s="265">
        <f>AK103*VLOOKUP($AD103,'Look-ups'!$A$123:$M$130,12,FALSE)</f>
        <v>2.1480944468099357</v>
      </c>
      <c r="AT103" s="265">
        <f>(AL103+AM103)*VLOOKUP($AD103,'Look-ups'!$A$123:$M$130,13,FALSE)</f>
        <v>0.0413941734104632</v>
      </c>
      <c r="AU103" s="265">
        <f t="shared" si="3"/>
        <v>2.343709025125489</v>
      </c>
    </row>
    <row r="104" spans="1:47" ht="15">
      <c r="A104">
        <v>6001</v>
      </c>
      <c r="B104" t="s">
        <v>590</v>
      </c>
      <c r="C104">
        <v>130.513399999999</v>
      </c>
      <c r="D104">
        <v>27826</v>
      </c>
      <c r="E104">
        <v>213.20416141178003</v>
      </c>
      <c r="F104" t="s">
        <v>173</v>
      </c>
      <c r="G104" t="s">
        <v>168</v>
      </c>
      <c r="H104">
        <f>VLOOKUP(CONCATENATE($G104,"-",$F104,"-",$H$2),'Look-ups'!$O$3:$S$34,5,FALSE)*VLOOKUP(CONCATENATE($F104,"-",$H$2,"-",H$3),'Look-ups'!$I$3:$M$24,5,FALSE)</f>
        <v>248.66666666666666</v>
      </c>
      <c r="I104">
        <f>VLOOKUP(CONCATENATE($G104,"-",$F104,"-",$H$2),'Look-ups'!$O$3:$S$34,5,FALSE)*VLOOKUP(CONCATENATE($F104,"-",$H$2,"-",I$3),'Look-ups'!$I$3:$M$24,5,FALSE)</f>
        <v>373</v>
      </c>
      <c r="J104">
        <f>VLOOKUP(CONCATENATE($G104,"-",$F104,"-",$H$2),'Look-ups'!$O$3:$S$34,5,FALSE)*VLOOKUP(CONCATENATE($F104,"-",$H$2,"-",J$3),'Look-ups'!$I$3:$M$24,5,FALSE)</f>
        <v>435.1666666666667</v>
      </c>
      <c r="K104">
        <f>VLOOKUP(CONCATENATE($G104,"-",$F104,"-",$H$2),'Look-ups'!$O$3:$S$34,5,FALSE)*VLOOKUP(CONCATENATE($F104,"-",$H$2,"-",K$3),'Look-ups'!$I$3:$M$24,5,FALSE)</f>
        <v>559.5</v>
      </c>
      <c r="L104">
        <f>VLOOKUP(CONCATENATE($G104,"-",$F104,"-",$H$2),'Look-ups'!$O$3:$S$34,5,FALSE)*VLOOKUP(CONCATENATE($F104,"-",$H$2,"-",L$3),'Look-ups'!$I$3:$M$24,5,FALSE)</f>
        <v>621.6666666666667</v>
      </c>
      <c r="M104">
        <f>VLOOKUP(CONCATENATE($G104,"-",$F104,"-",$H$2),'Look-ups'!$O$3:$S$34,5,FALSE)*VLOOKUP(CONCATENATE($F104,"-",$H$2,"-",M$3),'Look-ups'!$I$3:$M$24,5,FALSE)</f>
        <v>683.8333333333333</v>
      </c>
      <c r="N104">
        <f>VLOOKUP(CONCATENATE($G104,"-",$F104,"-",$N$2),'Look-ups'!$O$3:$S$34,5,FALSE)*VLOOKUP(CONCATENATE($F104,"-",$N$2,"-",N$3),'Look-ups'!$I$3:$M$24,5,FALSE)</f>
        <v>248.25</v>
      </c>
      <c r="O104">
        <f>VLOOKUP(CONCATENATE($G104,"-",$F104,"-",$N$2),'Look-ups'!$O$3:$S$34,5,FALSE)*VLOOKUP(CONCATENATE($F104,"-",$N$2,"-",O$3),'Look-ups'!$I$3:$M$24,5,FALSE)</f>
        <v>248.25</v>
      </c>
      <c r="P104">
        <f>VLOOKUP(CONCATENATE($G104,"-",$F104,"-",$N$2),'Look-ups'!$O$3:$S$34,5,FALSE)*VLOOKUP(CONCATENATE($F104,"-",$N$2,"-",P$3),'Look-ups'!$I$3:$M$24,5,FALSE)</f>
        <v>331</v>
      </c>
      <c r="Q104">
        <f>VLOOKUP(CONCATENATE($G104,"-",$F104,"-",$N$2),'Look-ups'!$O$3:$S$34,5,FALSE)*VLOOKUP(CONCATENATE($F104,"-",$N$2,"-",Q$3),'Look-ups'!$I$3:$M$24,5,FALSE)</f>
        <v>425.5714285714286</v>
      </c>
      <c r="R104">
        <f>VLOOKUP(CONCATENATE($G104,"-",$F104,"-",$N$2),'Look-ups'!$O$3:$S$34,5,FALSE)*VLOOKUP(CONCATENATE($F104,"-",$N$2,"-",R$3),'Look-ups'!$I$3:$M$24,5,FALSE)</f>
        <v>484.6785714285714</v>
      </c>
      <c r="S104" s="117">
        <f>VLOOKUP(CONCATENATE($G104,"-",$F104,"-Lone Person"),'Look-ups'!$Y$4:$AG$35,5,FALSE)</f>
        <v>137.8</v>
      </c>
      <c r="T104">
        <f>VLOOKUP(CONCATENATE($G104,"-",$F104,"-Lone Person"),'Look-ups'!$Y$4:$AG$35,6,FALSE)</f>
        <v>196.10000000000002</v>
      </c>
      <c r="U104">
        <f>VLOOKUP(CONCATENATE($G104,"-",$F104,"-Lone Person"),'Look-ups'!$Y$4:$AG$35,7,FALSE)</f>
        <v>235.32000000000002</v>
      </c>
      <c r="V104">
        <f>VLOOKUP(CONCATENATE($G104,"-",$F104,"-Lone Person"),'Look-ups'!$Y$4:$AG$35,8,FALSE)</f>
        <v>288.32</v>
      </c>
      <c r="W104">
        <f>VLOOKUP(CONCATENATE($G104,"-",$F104,"-Lone Person"),'Look-ups'!$Y$4:$AG$35,9,FALSE)</f>
        <v>273.48</v>
      </c>
      <c r="X104" s="117">
        <f>VLOOKUP(CONCATENATE($G104,"-",$F104,"-Couple Only"),'Look-ups'!$Y$4:$AG$35,5,FALSE)</f>
        <v>222.60000000000002</v>
      </c>
      <c r="Y104">
        <f>VLOOKUP(CONCATENATE($G104,"-",$F104,"-Couple Only"),'Look-ups'!$Y$4:$AG$35,6,FALSE)</f>
        <v>209.88000000000002</v>
      </c>
      <c r="Z104">
        <f>VLOOKUP(CONCATENATE($G104,"-",$F104,"-Couple Only"),'Look-ups'!$Y$4:$AG$35,7,FALSE)</f>
        <v>237.44</v>
      </c>
      <c r="AA104">
        <f>VLOOKUP(CONCATENATE($G104,"-",$F104,"-Couple Only"),'Look-ups'!$Y$4:$AG$35,8,FALSE)</f>
        <v>262.88</v>
      </c>
      <c r="AB104">
        <f>VLOOKUP(CONCATENATE($G104,"-",$F104,"-Couple Only"),'Look-ups'!$Y$4:$AG$35,9,FALSE)</f>
        <v>329.66</v>
      </c>
      <c r="AC104">
        <v>67</v>
      </c>
      <c r="AD104" t="s">
        <v>168</v>
      </c>
      <c r="AE104" s="260">
        <f>VLOOKUP($AD104,'Look-ups'!$A$122:$G$130,5,FALSE)</f>
        <v>0.3</v>
      </c>
      <c r="AF104" s="260">
        <f>VLOOKUP($AD104,'Look-ups'!$A$122:$G$130,6,FALSE)</f>
        <v>0.09285714285714286</v>
      </c>
      <c r="AG104" s="260">
        <f>VLOOKUP($AD104,'Look-ups'!$A$122:$G$130,7,FALSE)</f>
        <v>0.6071428571428571</v>
      </c>
      <c r="AH104" s="264">
        <f>VLOOKUP($AC104,'Look-ups'!$A$50:$AO$118,'Look-ups'!$B$133*4,FALSE)*0.277778</f>
        <v>87.75695879724594</v>
      </c>
      <c r="AI104" s="264">
        <f>VLOOKUP($AC104,'Look-ups'!$A$50:$AO$118,'Look-ups'!$B$133*4+1,FALSE)*0.277778</f>
        <v>2.24311320275408</v>
      </c>
      <c r="AJ104" s="264">
        <f>AE104*$AH104/'Look-ups'!$B$141</f>
        <v>34.41449364597881</v>
      </c>
      <c r="AK104" s="264">
        <f>AF104*$AH104/'Look-ups'!$B$140</f>
        <v>11.162822547594885</v>
      </c>
      <c r="AL104" s="264">
        <f>AG104*$AH104/'Look-ups'!$B$137</f>
        <v>10.148763942538645</v>
      </c>
      <c r="AM104" s="264">
        <f>AI104/'Look-ups'!$B$136</f>
        <v>0.47223435847454315</v>
      </c>
      <c r="AN104" s="263">
        <f>AJ104*VLOOKUP($AD104,'Look-ups'!$A$123:$M$130,10,FALSE)</f>
        <v>9.339711192255914</v>
      </c>
      <c r="AO104" s="263">
        <f>AK104*VLOOKUP($AD104,'Look-ups'!$A$123:$M$130,9,FALSE)</f>
        <v>1.6757629208449443</v>
      </c>
      <c r="AP104" s="263">
        <f>(AL104+AM104)*VLOOKUP($AD104,'Look-ups'!$A$123:$M$130,8,FALSE)</f>
        <v>2.934688040552954</v>
      </c>
      <c r="AQ104" s="263">
        <f t="shared" si="2"/>
        <v>13.950162153653812</v>
      </c>
      <c r="AR104" s="265">
        <f>AJ104*VLOOKUP($AD104,'Look-ups'!$A$123:$M$130,11,FALSE)</f>
        <v>0.14867477544434088</v>
      </c>
      <c r="AS104" s="265">
        <f>AK104*VLOOKUP($AD104,'Look-ups'!$A$123:$M$130,12,FALSE)</f>
        <v>2.070850868983564</v>
      </c>
      <c r="AT104" s="265">
        <f>(AL104+AM104)*VLOOKUP($AD104,'Look-ups'!$A$123:$M$130,13,FALSE)</f>
        <v>0.0392976937137488</v>
      </c>
      <c r="AU104" s="265">
        <f t="shared" si="3"/>
        <v>2.2588233381416534</v>
      </c>
    </row>
    <row r="105" spans="1:47" ht="15">
      <c r="A105">
        <v>6002</v>
      </c>
      <c r="B105" t="s">
        <v>391</v>
      </c>
      <c r="C105">
        <v>290.502299999999</v>
      </c>
      <c r="D105">
        <v>31721</v>
      </c>
      <c r="E105">
        <v>109.19362772687207</v>
      </c>
      <c r="F105" t="s">
        <v>173</v>
      </c>
      <c r="G105" t="s">
        <v>168</v>
      </c>
      <c r="H105">
        <f>VLOOKUP(CONCATENATE($G105,"-",$F105,"-",$H$2),'Look-ups'!$O$3:$S$34,5,FALSE)*VLOOKUP(CONCATENATE($F105,"-",$H$2,"-",H$3),'Look-ups'!$I$3:$M$24,5,FALSE)</f>
        <v>248.66666666666666</v>
      </c>
      <c r="I105">
        <f>VLOOKUP(CONCATENATE($G105,"-",$F105,"-",$H$2),'Look-ups'!$O$3:$S$34,5,FALSE)*VLOOKUP(CONCATENATE($F105,"-",$H$2,"-",I$3),'Look-ups'!$I$3:$M$24,5,FALSE)</f>
        <v>373</v>
      </c>
      <c r="J105">
        <f>VLOOKUP(CONCATENATE($G105,"-",$F105,"-",$H$2),'Look-ups'!$O$3:$S$34,5,FALSE)*VLOOKUP(CONCATENATE($F105,"-",$H$2,"-",J$3),'Look-ups'!$I$3:$M$24,5,FALSE)</f>
        <v>435.1666666666667</v>
      </c>
      <c r="K105">
        <f>VLOOKUP(CONCATENATE($G105,"-",$F105,"-",$H$2),'Look-ups'!$O$3:$S$34,5,FALSE)*VLOOKUP(CONCATENATE($F105,"-",$H$2,"-",K$3),'Look-ups'!$I$3:$M$24,5,FALSE)</f>
        <v>559.5</v>
      </c>
      <c r="L105">
        <f>VLOOKUP(CONCATENATE($G105,"-",$F105,"-",$H$2),'Look-ups'!$O$3:$S$34,5,FALSE)*VLOOKUP(CONCATENATE($F105,"-",$H$2,"-",L$3),'Look-ups'!$I$3:$M$24,5,FALSE)</f>
        <v>621.6666666666667</v>
      </c>
      <c r="M105">
        <f>VLOOKUP(CONCATENATE($G105,"-",$F105,"-",$H$2),'Look-ups'!$O$3:$S$34,5,FALSE)*VLOOKUP(CONCATENATE($F105,"-",$H$2,"-",M$3),'Look-ups'!$I$3:$M$24,5,FALSE)</f>
        <v>683.8333333333333</v>
      </c>
      <c r="N105">
        <f>VLOOKUP(CONCATENATE($G105,"-",$F105,"-",$N$2),'Look-ups'!$O$3:$S$34,5,FALSE)*VLOOKUP(CONCATENATE($F105,"-",$N$2,"-",N$3),'Look-ups'!$I$3:$M$24,5,FALSE)</f>
        <v>248.25</v>
      </c>
      <c r="O105">
        <f>VLOOKUP(CONCATENATE($G105,"-",$F105,"-",$N$2),'Look-ups'!$O$3:$S$34,5,FALSE)*VLOOKUP(CONCATENATE($F105,"-",$N$2,"-",O$3),'Look-ups'!$I$3:$M$24,5,FALSE)</f>
        <v>248.25</v>
      </c>
      <c r="P105">
        <f>VLOOKUP(CONCATENATE($G105,"-",$F105,"-",$N$2),'Look-ups'!$O$3:$S$34,5,FALSE)*VLOOKUP(CONCATENATE($F105,"-",$N$2,"-",P$3),'Look-ups'!$I$3:$M$24,5,FALSE)</f>
        <v>331</v>
      </c>
      <c r="Q105">
        <f>VLOOKUP(CONCATENATE($G105,"-",$F105,"-",$N$2),'Look-ups'!$O$3:$S$34,5,FALSE)*VLOOKUP(CONCATENATE($F105,"-",$N$2,"-",Q$3),'Look-ups'!$I$3:$M$24,5,FALSE)</f>
        <v>425.5714285714286</v>
      </c>
      <c r="R105">
        <f>VLOOKUP(CONCATENATE($G105,"-",$F105,"-",$N$2),'Look-ups'!$O$3:$S$34,5,FALSE)*VLOOKUP(CONCATENATE($F105,"-",$N$2,"-",R$3),'Look-ups'!$I$3:$M$24,5,FALSE)</f>
        <v>484.6785714285714</v>
      </c>
      <c r="S105" s="117">
        <f>VLOOKUP(CONCATENATE($G105,"-",$F105,"-Lone Person"),'Look-ups'!$Y$4:$AG$35,5,FALSE)</f>
        <v>137.8</v>
      </c>
      <c r="T105">
        <f>VLOOKUP(CONCATENATE($G105,"-",$F105,"-Lone Person"),'Look-ups'!$Y$4:$AG$35,6,FALSE)</f>
        <v>196.10000000000002</v>
      </c>
      <c r="U105">
        <f>VLOOKUP(CONCATENATE($G105,"-",$F105,"-Lone Person"),'Look-ups'!$Y$4:$AG$35,7,FALSE)</f>
        <v>235.32000000000002</v>
      </c>
      <c r="V105">
        <f>VLOOKUP(CONCATENATE($G105,"-",$F105,"-Lone Person"),'Look-ups'!$Y$4:$AG$35,8,FALSE)</f>
        <v>288.32</v>
      </c>
      <c r="W105">
        <f>VLOOKUP(CONCATENATE($G105,"-",$F105,"-Lone Person"),'Look-ups'!$Y$4:$AG$35,9,FALSE)</f>
        <v>273.48</v>
      </c>
      <c r="X105" s="117">
        <f>VLOOKUP(CONCATENATE($G105,"-",$F105,"-Couple Only"),'Look-ups'!$Y$4:$AG$35,5,FALSE)</f>
        <v>222.60000000000002</v>
      </c>
      <c r="Y105">
        <f>VLOOKUP(CONCATENATE($G105,"-",$F105,"-Couple Only"),'Look-ups'!$Y$4:$AG$35,6,FALSE)</f>
        <v>209.88000000000002</v>
      </c>
      <c r="Z105">
        <f>VLOOKUP(CONCATENATE($G105,"-",$F105,"-Couple Only"),'Look-ups'!$Y$4:$AG$35,7,FALSE)</f>
        <v>237.44</v>
      </c>
      <c r="AA105">
        <f>VLOOKUP(CONCATENATE($G105,"-",$F105,"-Couple Only"),'Look-ups'!$Y$4:$AG$35,8,FALSE)</f>
        <v>262.88</v>
      </c>
      <c r="AB105">
        <f>VLOOKUP(CONCATENATE($G105,"-",$F105,"-Couple Only"),'Look-ups'!$Y$4:$AG$35,9,FALSE)</f>
        <v>329.66</v>
      </c>
      <c r="AC105">
        <v>67</v>
      </c>
      <c r="AD105" t="s">
        <v>168</v>
      </c>
      <c r="AE105" s="260">
        <f>VLOOKUP($AD105,'Look-ups'!$A$122:$G$130,5,FALSE)</f>
        <v>0.3</v>
      </c>
      <c r="AF105" s="260">
        <f>VLOOKUP($AD105,'Look-ups'!$A$122:$G$130,6,FALSE)</f>
        <v>0.09285714285714286</v>
      </c>
      <c r="AG105" s="260">
        <f>VLOOKUP($AD105,'Look-ups'!$A$122:$G$130,7,FALSE)</f>
        <v>0.6071428571428571</v>
      </c>
      <c r="AH105" s="264">
        <f>VLOOKUP($AC105,'Look-ups'!$A$50:$AO$118,'Look-ups'!$B$133*4,FALSE)*0.277778</f>
        <v>87.75695879724594</v>
      </c>
      <c r="AI105" s="264">
        <f>VLOOKUP($AC105,'Look-ups'!$A$50:$AO$118,'Look-ups'!$B$133*4+1,FALSE)*0.277778</f>
        <v>2.24311320275408</v>
      </c>
      <c r="AJ105" s="264">
        <f>AE105*$AH105/'Look-ups'!$B$141</f>
        <v>34.41449364597881</v>
      </c>
      <c r="AK105" s="264">
        <f>AF105*$AH105/'Look-ups'!$B$140</f>
        <v>11.162822547594885</v>
      </c>
      <c r="AL105" s="264">
        <f>AG105*$AH105/'Look-ups'!$B$137</f>
        <v>10.148763942538645</v>
      </c>
      <c r="AM105" s="264">
        <f>AI105/'Look-ups'!$B$136</f>
        <v>0.47223435847454315</v>
      </c>
      <c r="AN105" s="263">
        <f>AJ105*VLOOKUP($AD105,'Look-ups'!$A$123:$M$130,10,FALSE)</f>
        <v>9.339711192255914</v>
      </c>
      <c r="AO105" s="263">
        <f>AK105*VLOOKUP($AD105,'Look-ups'!$A$123:$M$130,9,FALSE)</f>
        <v>1.6757629208449443</v>
      </c>
      <c r="AP105" s="263">
        <f>(AL105+AM105)*VLOOKUP($AD105,'Look-ups'!$A$123:$M$130,8,FALSE)</f>
        <v>2.934688040552954</v>
      </c>
      <c r="AQ105" s="263">
        <f t="shared" si="2"/>
        <v>13.950162153653812</v>
      </c>
      <c r="AR105" s="265">
        <f>AJ105*VLOOKUP($AD105,'Look-ups'!$A$123:$M$130,11,FALSE)</f>
        <v>0.14867477544434088</v>
      </c>
      <c r="AS105" s="265">
        <f>AK105*VLOOKUP($AD105,'Look-ups'!$A$123:$M$130,12,FALSE)</f>
        <v>2.070850868983564</v>
      </c>
      <c r="AT105" s="265">
        <f>(AL105+AM105)*VLOOKUP($AD105,'Look-ups'!$A$123:$M$130,13,FALSE)</f>
        <v>0.0392976937137488</v>
      </c>
      <c r="AU105" s="265">
        <f t="shared" si="3"/>
        <v>2.2588233381416534</v>
      </c>
    </row>
    <row r="106" spans="1:47" ht="15">
      <c r="A106">
        <v>6003</v>
      </c>
      <c r="B106" t="s">
        <v>392</v>
      </c>
      <c r="C106">
        <v>1149.2735</v>
      </c>
      <c r="D106">
        <v>226653</v>
      </c>
      <c r="E106">
        <v>197.21415311498959</v>
      </c>
      <c r="F106" t="s">
        <v>172</v>
      </c>
      <c r="G106" t="s">
        <v>168</v>
      </c>
      <c r="H106">
        <f>VLOOKUP(CONCATENATE($G106,"-",$F106,"-",$H$2),'Look-ups'!$O$3:$S$34,5,FALSE)*VLOOKUP(CONCATENATE($F106,"-",$H$2,"-",H$3),'Look-ups'!$I$3:$M$24,5,FALSE)</f>
        <v>288.88888888888886</v>
      </c>
      <c r="I106">
        <f>VLOOKUP(CONCATENATE($G106,"-",$F106,"-",$H$2),'Look-ups'!$O$3:$S$34,5,FALSE)*VLOOKUP(CONCATENATE($F106,"-",$H$2,"-",I$3),'Look-ups'!$I$3:$M$24,5,FALSE)</f>
        <v>416</v>
      </c>
      <c r="J106">
        <f>VLOOKUP(CONCATENATE($G106,"-",$F106,"-",$H$2),'Look-ups'!$O$3:$S$34,5,FALSE)*VLOOKUP(CONCATENATE($F106,"-",$H$2,"-",J$3),'Look-ups'!$I$3:$M$24,5,FALSE)</f>
        <v>508.44444444444446</v>
      </c>
      <c r="K106">
        <f>VLOOKUP(CONCATENATE($G106,"-",$F106,"-",$H$2),'Look-ups'!$O$3:$S$34,5,FALSE)*VLOOKUP(CONCATENATE($F106,"-",$H$2,"-",K$3),'Look-ups'!$I$3:$M$24,5,FALSE)</f>
        <v>647.1111111111111</v>
      </c>
      <c r="L106">
        <f>VLOOKUP(CONCATENATE($G106,"-",$F106,"-",$H$2),'Look-ups'!$O$3:$S$34,5,FALSE)*VLOOKUP(CONCATENATE($F106,"-",$H$2,"-",L$3),'Look-ups'!$I$3:$M$24,5,FALSE)</f>
        <v>780</v>
      </c>
      <c r="M106">
        <f>VLOOKUP(CONCATENATE($G106,"-",$F106,"-",$H$2),'Look-ups'!$O$3:$S$34,5,FALSE)*VLOOKUP(CONCATENATE($F106,"-",$H$2,"-",M$3),'Look-ups'!$I$3:$M$24,5,FALSE)</f>
        <v>866.6666666666667</v>
      </c>
      <c r="N106">
        <f>VLOOKUP(CONCATENATE($G106,"-",$F106,"-",$N$2),'Look-ups'!$O$3:$S$34,5,FALSE)*VLOOKUP(CONCATENATE($F106,"-",$N$2,"-",N$3),'Look-ups'!$I$3:$M$24,5,FALSE)</f>
        <v>291.8933333333333</v>
      </c>
      <c r="O106">
        <f>VLOOKUP(CONCATENATE($G106,"-",$F106,"-",$N$2),'Look-ups'!$O$3:$S$34,5,FALSE)*VLOOKUP(CONCATENATE($F106,"-",$N$2,"-",O$3),'Look-ups'!$I$3:$M$24,5,FALSE)</f>
        <v>392.93333333333334</v>
      </c>
      <c r="P106">
        <f>VLOOKUP(CONCATENATE($G106,"-",$F106,"-",$N$2),'Look-ups'!$O$3:$S$34,5,FALSE)*VLOOKUP(CONCATENATE($F106,"-",$N$2,"-",P$3),'Look-ups'!$I$3:$M$24,5,FALSE)</f>
        <v>421</v>
      </c>
      <c r="Q106">
        <f>VLOOKUP(CONCATENATE($G106,"-",$F106,"-",$N$2),'Look-ups'!$O$3:$S$34,5,FALSE)*VLOOKUP(CONCATENATE($F106,"-",$N$2,"-",Q$3),'Look-ups'!$I$3:$M$24,5,FALSE)</f>
        <v>550.1066666666667</v>
      </c>
      <c r="R106">
        <f>VLOOKUP(CONCATENATE($G106,"-",$F106,"-",$N$2),'Look-ups'!$O$3:$S$34,5,FALSE)*VLOOKUP(CONCATENATE($F106,"-",$N$2,"-",R$3),'Look-ups'!$I$3:$M$24,5,FALSE)</f>
        <v>617.4666666666666</v>
      </c>
      <c r="S106" s="117">
        <f>VLOOKUP(CONCATENATE($G106,"-",$F106,"-Lone Person"),'Look-ups'!$Y$4:$AG$35,5,FALSE)</f>
        <v>91.16000000000001</v>
      </c>
      <c r="T106">
        <f>VLOOKUP(CONCATENATE($G106,"-",$F106,"-Lone Person"),'Look-ups'!$Y$4:$AG$35,6,FALSE)</f>
        <v>130.38</v>
      </c>
      <c r="U106">
        <f>VLOOKUP(CONCATENATE($G106,"-",$F106,"-Lone Person"),'Look-ups'!$Y$4:$AG$35,7,FALSE)</f>
        <v>155.82000000000002</v>
      </c>
      <c r="V106">
        <f>VLOOKUP(CONCATENATE($G106,"-",$F106,"-Lone Person"),'Look-ups'!$Y$4:$AG$35,8,FALSE)</f>
        <v>190.8</v>
      </c>
      <c r="W106">
        <f>VLOOKUP(CONCATENATE($G106,"-",$F106,"-Lone Person"),'Look-ups'!$Y$4:$AG$35,9,FALSE)</f>
        <v>181.26000000000002</v>
      </c>
      <c r="X106" s="117">
        <f>VLOOKUP(CONCATENATE($G106,"-",$F106,"-Couple Only"),'Look-ups'!$Y$4:$AG$35,5,FALSE)</f>
        <v>147.34</v>
      </c>
      <c r="Y106">
        <f>VLOOKUP(CONCATENATE($G106,"-",$F106,"-Couple Only"),'Look-ups'!$Y$4:$AG$35,6,FALSE)</f>
        <v>138.86</v>
      </c>
      <c r="Z106">
        <f>VLOOKUP(CONCATENATE($G106,"-",$F106,"-Couple Only"),'Look-ups'!$Y$4:$AG$35,7,FALSE)</f>
        <v>156.88</v>
      </c>
      <c r="AA106">
        <f>VLOOKUP(CONCATENATE($G106,"-",$F106,"-Couple Only"),'Look-ups'!$Y$4:$AG$35,8,FALSE)</f>
        <v>173.84</v>
      </c>
      <c r="AB106">
        <f>VLOOKUP(CONCATENATE($G106,"-",$F106,"-Couple Only"),'Look-ups'!$Y$4:$AG$35,9,FALSE)</f>
        <v>218.36</v>
      </c>
      <c r="AC106">
        <v>26</v>
      </c>
      <c r="AD106" t="s">
        <v>168</v>
      </c>
      <c r="AE106" s="260">
        <f>VLOOKUP($AD106,'Look-ups'!$A$122:$G$130,5,FALSE)</f>
        <v>0.3</v>
      </c>
      <c r="AF106" s="260">
        <f>VLOOKUP($AD106,'Look-ups'!$A$122:$G$130,6,FALSE)</f>
        <v>0.09285714285714286</v>
      </c>
      <c r="AG106" s="260">
        <f>VLOOKUP($AD106,'Look-ups'!$A$122:$G$130,7,FALSE)</f>
        <v>0.6071428571428571</v>
      </c>
      <c r="AH106" s="264">
        <f>VLOOKUP($AC106,'Look-ups'!$A$50:$AO$118,'Look-ups'!$B$133*4,FALSE)*0.277778</f>
        <v>91.03032897478458</v>
      </c>
      <c r="AI106" s="264">
        <f>VLOOKUP($AC106,'Look-ups'!$A$50:$AO$118,'Look-ups'!$B$133*4+1,FALSE)*0.277778</f>
        <v>3.1364130252154223</v>
      </c>
      <c r="AJ106" s="264">
        <f>AE106*$AH106/'Look-ups'!$B$141</f>
        <v>35.69816822540572</v>
      </c>
      <c r="AK106" s="264">
        <f>AF106*$AH106/'Look-ups'!$B$140</f>
        <v>11.579200358827785</v>
      </c>
      <c r="AL106" s="264">
        <f>AG106*$AH106/'Look-ups'!$B$137</f>
        <v>10.527316956267603</v>
      </c>
      <c r="AM106" s="264">
        <f>AI106/'Look-ups'!$B$136</f>
        <v>0.6602974789927205</v>
      </c>
      <c r="AN106" s="263">
        <f>AJ106*VLOOKUP($AD106,'Look-ups'!$A$123:$M$130,10,FALSE)</f>
        <v>9.688086210061496</v>
      </c>
      <c r="AO106" s="263">
        <f>AK106*VLOOKUP($AD106,'Look-ups'!$A$123:$M$130,9,FALSE)</f>
        <v>1.7382695578672271</v>
      </c>
      <c r="AP106" s="263">
        <f>(AL106+AM106)*VLOOKUP($AD106,'Look-ups'!$A$123:$M$130,8,FALSE)</f>
        <v>3.09124974460678</v>
      </c>
      <c r="AQ106" s="263">
        <f t="shared" si="2"/>
        <v>14.517605512535503</v>
      </c>
      <c r="AR106" s="265">
        <f>AJ106*VLOOKUP($AD106,'Look-ups'!$A$123:$M$130,11,FALSE)</f>
        <v>0.15422040490509006</v>
      </c>
      <c r="AS106" s="265">
        <f>AK106*VLOOKUP($AD106,'Look-ups'!$A$123:$M$130,12,FALSE)</f>
        <v>2.1480944468099357</v>
      </c>
      <c r="AT106" s="265">
        <f>(AL106+AM106)*VLOOKUP($AD106,'Look-ups'!$A$123:$M$130,13,FALSE)</f>
        <v>0.0413941734104632</v>
      </c>
      <c r="AU106" s="265">
        <f t="shared" si="3"/>
        <v>2.343709025125489</v>
      </c>
    </row>
    <row r="107" spans="1:47" ht="15">
      <c r="A107">
        <v>6004</v>
      </c>
      <c r="B107" t="s">
        <v>195</v>
      </c>
      <c r="C107">
        <v>435.4107</v>
      </c>
      <c r="D107">
        <v>90953</v>
      </c>
      <c r="E107">
        <v>208.89013522175728</v>
      </c>
      <c r="F107" t="s">
        <v>173</v>
      </c>
      <c r="G107" t="s">
        <v>168</v>
      </c>
      <c r="H107">
        <f>VLOOKUP(CONCATENATE($G107,"-",$F107,"-",$H$2),'Look-ups'!$O$3:$S$34,5,FALSE)*VLOOKUP(CONCATENATE($F107,"-",$H$2,"-",H$3),'Look-ups'!$I$3:$M$24,5,FALSE)</f>
        <v>248.66666666666666</v>
      </c>
      <c r="I107">
        <f>VLOOKUP(CONCATENATE($G107,"-",$F107,"-",$H$2),'Look-ups'!$O$3:$S$34,5,FALSE)*VLOOKUP(CONCATENATE($F107,"-",$H$2,"-",I$3),'Look-ups'!$I$3:$M$24,5,FALSE)</f>
        <v>373</v>
      </c>
      <c r="J107">
        <f>VLOOKUP(CONCATENATE($G107,"-",$F107,"-",$H$2),'Look-ups'!$O$3:$S$34,5,FALSE)*VLOOKUP(CONCATENATE($F107,"-",$H$2,"-",J$3),'Look-ups'!$I$3:$M$24,5,FALSE)</f>
        <v>435.1666666666667</v>
      </c>
      <c r="K107">
        <f>VLOOKUP(CONCATENATE($G107,"-",$F107,"-",$H$2),'Look-ups'!$O$3:$S$34,5,FALSE)*VLOOKUP(CONCATENATE($F107,"-",$H$2,"-",K$3),'Look-ups'!$I$3:$M$24,5,FALSE)</f>
        <v>559.5</v>
      </c>
      <c r="L107">
        <f>VLOOKUP(CONCATENATE($G107,"-",$F107,"-",$H$2),'Look-ups'!$O$3:$S$34,5,FALSE)*VLOOKUP(CONCATENATE($F107,"-",$H$2,"-",L$3),'Look-ups'!$I$3:$M$24,5,FALSE)</f>
        <v>621.6666666666667</v>
      </c>
      <c r="M107">
        <f>VLOOKUP(CONCATENATE($G107,"-",$F107,"-",$H$2),'Look-ups'!$O$3:$S$34,5,FALSE)*VLOOKUP(CONCATENATE($F107,"-",$H$2,"-",M$3),'Look-ups'!$I$3:$M$24,5,FALSE)</f>
        <v>683.8333333333333</v>
      </c>
      <c r="N107">
        <f>VLOOKUP(CONCATENATE($G107,"-",$F107,"-",$N$2),'Look-ups'!$O$3:$S$34,5,FALSE)*VLOOKUP(CONCATENATE($F107,"-",$N$2,"-",N$3),'Look-ups'!$I$3:$M$24,5,FALSE)</f>
        <v>248.25</v>
      </c>
      <c r="O107">
        <f>VLOOKUP(CONCATENATE($G107,"-",$F107,"-",$N$2),'Look-ups'!$O$3:$S$34,5,FALSE)*VLOOKUP(CONCATENATE($F107,"-",$N$2,"-",O$3),'Look-ups'!$I$3:$M$24,5,FALSE)</f>
        <v>248.25</v>
      </c>
      <c r="P107">
        <f>VLOOKUP(CONCATENATE($G107,"-",$F107,"-",$N$2),'Look-ups'!$O$3:$S$34,5,FALSE)*VLOOKUP(CONCATENATE($F107,"-",$N$2,"-",P$3),'Look-ups'!$I$3:$M$24,5,FALSE)</f>
        <v>331</v>
      </c>
      <c r="Q107">
        <f>VLOOKUP(CONCATENATE($G107,"-",$F107,"-",$N$2),'Look-ups'!$O$3:$S$34,5,FALSE)*VLOOKUP(CONCATENATE($F107,"-",$N$2,"-",Q$3),'Look-ups'!$I$3:$M$24,5,FALSE)</f>
        <v>425.5714285714286</v>
      </c>
      <c r="R107">
        <f>VLOOKUP(CONCATENATE($G107,"-",$F107,"-",$N$2),'Look-ups'!$O$3:$S$34,5,FALSE)*VLOOKUP(CONCATENATE($F107,"-",$N$2,"-",R$3),'Look-ups'!$I$3:$M$24,5,FALSE)</f>
        <v>484.6785714285714</v>
      </c>
      <c r="S107" s="117">
        <f>VLOOKUP(CONCATENATE($G107,"-",$F107,"-Lone Person"),'Look-ups'!$Y$4:$AG$35,5,FALSE)</f>
        <v>137.8</v>
      </c>
      <c r="T107">
        <f>VLOOKUP(CONCATENATE($G107,"-",$F107,"-Lone Person"),'Look-ups'!$Y$4:$AG$35,6,FALSE)</f>
        <v>196.10000000000002</v>
      </c>
      <c r="U107">
        <f>VLOOKUP(CONCATENATE($G107,"-",$F107,"-Lone Person"),'Look-ups'!$Y$4:$AG$35,7,FALSE)</f>
        <v>235.32000000000002</v>
      </c>
      <c r="V107">
        <f>VLOOKUP(CONCATENATE($G107,"-",$F107,"-Lone Person"),'Look-ups'!$Y$4:$AG$35,8,FALSE)</f>
        <v>288.32</v>
      </c>
      <c r="W107">
        <f>VLOOKUP(CONCATENATE($G107,"-",$F107,"-Lone Person"),'Look-ups'!$Y$4:$AG$35,9,FALSE)</f>
        <v>273.48</v>
      </c>
      <c r="X107" s="117">
        <f>VLOOKUP(CONCATENATE($G107,"-",$F107,"-Couple Only"),'Look-ups'!$Y$4:$AG$35,5,FALSE)</f>
        <v>222.60000000000002</v>
      </c>
      <c r="Y107">
        <f>VLOOKUP(CONCATENATE($G107,"-",$F107,"-Couple Only"),'Look-ups'!$Y$4:$AG$35,6,FALSE)</f>
        <v>209.88000000000002</v>
      </c>
      <c r="Z107">
        <f>VLOOKUP(CONCATENATE($G107,"-",$F107,"-Couple Only"),'Look-ups'!$Y$4:$AG$35,7,FALSE)</f>
        <v>237.44</v>
      </c>
      <c r="AA107">
        <f>VLOOKUP(CONCATENATE($G107,"-",$F107,"-Couple Only"),'Look-ups'!$Y$4:$AG$35,8,FALSE)</f>
        <v>262.88</v>
      </c>
      <c r="AB107">
        <f>VLOOKUP(CONCATENATE($G107,"-",$F107,"-Couple Only"),'Look-ups'!$Y$4:$AG$35,9,FALSE)</f>
        <v>329.66</v>
      </c>
      <c r="AC107">
        <v>23</v>
      </c>
      <c r="AD107" t="s">
        <v>168</v>
      </c>
      <c r="AE107" s="260">
        <f>VLOOKUP($AD107,'Look-ups'!$A$122:$G$130,5,FALSE)</f>
        <v>0.3</v>
      </c>
      <c r="AF107" s="260">
        <f>VLOOKUP($AD107,'Look-ups'!$A$122:$G$130,6,FALSE)</f>
        <v>0.09285714285714286</v>
      </c>
      <c r="AG107" s="260">
        <f>VLOOKUP($AD107,'Look-ups'!$A$122:$G$130,7,FALSE)</f>
        <v>0.6071428571428571</v>
      </c>
      <c r="AH107" s="264">
        <f>VLOOKUP($AC107,'Look-ups'!$A$50:$AO$118,'Look-ups'!$B$133*4,FALSE)*0.277778</f>
        <v>89.61136910656703</v>
      </c>
      <c r="AI107" s="264">
        <f>VLOOKUP($AC107,'Look-ups'!$A$50:$AO$118,'Look-ups'!$B$133*4+1,FALSE)*0.277778</f>
        <v>7.610930893432988</v>
      </c>
      <c r="AJ107" s="264">
        <f>AE107*$AH107/'Look-ups'!$B$141</f>
        <v>35.141713375124326</v>
      </c>
      <c r="AK107" s="264">
        <f>AF107*$AH107/'Look-ups'!$B$140</f>
        <v>11.39870644212692</v>
      </c>
      <c r="AL107" s="264">
        <f>AG107*$AH107/'Look-ups'!$B$137</f>
        <v>10.363219556541765</v>
      </c>
      <c r="AM107" s="264">
        <f>AI107/'Look-ups'!$B$136</f>
        <v>1.6023012407227342</v>
      </c>
      <c r="AN107" s="263">
        <f>AJ107*VLOOKUP($AD107,'Look-ups'!$A$123:$M$130,10,FALSE)</f>
        <v>9.537070546526795</v>
      </c>
      <c r="AO107" s="263">
        <f>AK107*VLOOKUP($AD107,'Look-ups'!$A$123:$M$130,9,FALSE)</f>
        <v>1.7111738110920933</v>
      </c>
      <c r="AP107" s="263">
        <f>(AL107+AM107)*VLOOKUP($AD107,'Look-ups'!$A$123:$M$130,8,FALSE)</f>
        <v>3.306193051492154</v>
      </c>
      <c r="AQ107" s="263">
        <f t="shared" si="2"/>
        <v>14.554437409111042</v>
      </c>
      <c r="AR107" s="265">
        <f>AJ107*VLOOKUP($AD107,'Look-ups'!$A$123:$M$130,11,FALSE)</f>
        <v>0.15181645264121102</v>
      </c>
      <c r="AS107" s="265">
        <f>AK107*VLOOKUP($AD107,'Look-ups'!$A$123:$M$130,12,FALSE)</f>
        <v>2.1146104437585063</v>
      </c>
      <c r="AT107" s="265">
        <f>(AL107+AM107)*VLOOKUP($AD107,'Look-ups'!$A$123:$M$130,13,FALSE)</f>
        <v>0.04427242694987865</v>
      </c>
      <c r="AU107" s="265">
        <f t="shared" si="3"/>
        <v>2.3106993233495956</v>
      </c>
    </row>
    <row r="108" spans="1:47" ht="15">
      <c r="A108">
        <v>6005</v>
      </c>
      <c r="B108" t="s">
        <v>393</v>
      </c>
      <c r="C108">
        <v>129.9507</v>
      </c>
      <c r="D108">
        <v>15086</v>
      </c>
      <c r="E108">
        <v>116.0901788139656</v>
      </c>
      <c r="F108" t="s">
        <v>173</v>
      </c>
      <c r="G108" t="s">
        <v>168</v>
      </c>
      <c r="H108">
        <f>VLOOKUP(CONCATENATE($G108,"-",$F108,"-",$H$2),'Look-ups'!$O$3:$S$34,5,FALSE)*VLOOKUP(CONCATENATE($F108,"-",$H$2,"-",H$3),'Look-ups'!$I$3:$M$24,5,FALSE)</f>
        <v>248.66666666666666</v>
      </c>
      <c r="I108">
        <f>VLOOKUP(CONCATENATE($G108,"-",$F108,"-",$H$2),'Look-ups'!$O$3:$S$34,5,FALSE)*VLOOKUP(CONCATENATE($F108,"-",$H$2,"-",I$3),'Look-ups'!$I$3:$M$24,5,FALSE)</f>
        <v>373</v>
      </c>
      <c r="J108">
        <f>VLOOKUP(CONCATENATE($G108,"-",$F108,"-",$H$2),'Look-ups'!$O$3:$S$34,5,FALSE)*VLOOKUP(CONCATENATE($F108,"-",$H$2,"-",J$3),'Look-ups'!$I$3:$M$24,5,FALSE)</f>
        <v>435.1666666666667</v>
      </c>
      <c r="K108">
        <f>VLOOKUP(CONCATENATE($G108,"-",$F108,"-",$H$2),'Look-ups'!$O$3:$S$34,5,FALSE)*VLOOKUP(CONCATENATE($F108,"-",$H$2,"-",K$3),'Look-ups'!$I$3:$M$24,5,FALSE)</f>
        <v>559.5</v>
      </c>
      <c r="L108">
        <f>VLOOKUP(CONCATENATE($G108,"-",$F108,"-",$H$2),'Look-ups'!$O$3:$S$34,5,FALSE)*VLOOKUP(CONCATENATE($F108,"-",$H$2,"-",L$3),'Look-ups'!$I$3:$M$24,5,FALSE)</f>
        <v>621.6666666666667</v>
      </c>
      <c r="M108">
        <f>VLOOKUP(CONCATENATE($G108,"-",$F108,"-",$H$2),'Look-ups'!$O$3:$S$34,5,FALSE)*VLOOKUP(CONCATENATE($F108,"-",$H$2,"-",M$3),'Look-ups'!$I$3:$M$24,5,FALSE)</f>
        <v>683.8333333333333</v>
      </c>
      <c r="N108">
        <f>VLOOKUP(CONCATENATE($G108,"-",$F108,"-",$N$2),'Look-ups'!$O$3:$S$34,5,FALSE)*VLOOKUP(CONCATENATE($F108,"-",$N$2,"-",N$3),'Look-ups'!$I$3:$M$24,5,FALSE)</f>
        <v>248.25</v>
      </c>
      <c r="O108">
        <f>VLOOKUP(CONCATENATE($G108,"-",$F108,"-",$N$2),'Look-ups'!$O$3:$S$34,5,FALSE)*VLOOKUP(CONCATENATE($F108,"-",$N$2,"-",O$3),'Look-ups'!$I$3:$M$24,5,FALSE)</f>
        <v>248.25</v>
      </c>
      <c r="P108">
        <f>VLOOKUP(CONCATENATE($G108,"-",$F108,"-",$N$2),'Look-ups'!$O$3:$S$34,5,FALSE)*VLOOKUP(CONCATENATE($F108,"-",$N$2,"-",P$3),'Look-ups'!$I$3:$M$24,5,FALSE)</f>
        <v>331</v>
      </c>
      <c r="Q108">
        <f>VLOOKUP(CONCATENATE($G108,"-",$F108,"-",$N$2),'Look-ups'!$O$3:$S$34,5,FALSE)*VLOOKUP(CONCATENATE($F108,"-",$N$2,"-",Q$3),'Look-ups'!$I$3:$M$24,5,FALSE)</f>
        <v>425.5714285714286</v>
      </c>
      <c r="R108">
        <f>VLOOKUP(CONCATENATE($G108,"-",$F108,"-",$N$2),'Look-ups'!$O$3:$S$34,5,FALSE)*VLOOKUP(CONCATENATE($F108,"-",$N$2,"-",R$3),'Look-ups'!$I$3:$M$24,5,FALSE)</f>
        <v>484.6785714285714</v>
      </c>
      <c r="S108" s="117">
        <f>VLOOKUP(CONCATENATE($G108,"-",$F108,"-Lone Person"),'Look-ups'!$Y$4:$AG$35,5,FALSE)</f>
        <v>137.8</v>
      </c>
      <c r="T108">
        <f>VLOOKUP(CONCATENATE($G108,"-",$F108,"-Lone Person"),'Look-ups'!$Y$4:$AG$35,6,FALSE)</f>
        <v>196.10000000000002</v>
      </c>
      <c r="U108">
        <f>VLOOKUP(CONCATENATE($G108,"-",$F108,"-Lone Person"),'Look-ups'!$Y$4:$AG$35,7,FALSE)</f>
        <v>235.32000000000002</v>
      </c>
      <c r="V108">
        <f>VLOOKUP(CONCATENATE($G108,"-",$F108,"-Lone Person"),'Look-ups'!$Y$4:$AG$35,8,FALSE)</f>
        <v>288.32</v>
      </c>
      <c r="W108">
        <f>VLOOKUP(CONCATENATE($G108,"-",$F108,"-Lone Person"),'Look-ups'!$Y$4:$AG$35,9,FALSE)</f>
        <v>273.48</v>
      </c>
      <c r="X108" s="117">
        <f>VLOOKUP(CONCATENATE($G108,"-",$F108,"-Couple Only"),'Look-ups'!$Y$4:$AG$35,5,FALSE)</f>
        <v>222.60000000000002</v>
      </c>
      <c r="Y108">
        <f>VLOOKUP(CONCATENATE($G108,"-",$F108,"-Couple Only"),'Look-ups'!$Y$4:$AG$35,6,FALSE)</f>
        <v>209.88000000000002</v>
      </c>
      <c r="Z108">
        <f>VLOOKUP(CONCATENATE($G108,"-",$F108,"-Couple Only"),'Look-ups'!$Y$4:$AG$35,7,FALSE)</f>
        <v>237.44</v>
      </c>
      <c r="AA108">
        <f>VLOOKUP(CONCATENATE($G108,"-",$F108,"-Couple Only"),'Look-ups'!$Y$4:$AG$35,8,FALSE)</f>
        <v>262.88</v>
      </c>
      <c r="AB108">
        <f>VLOOKUP(CONCATENATE($G108,"-",$F108,"-Couple Only"),'Look-ups'!$Y$4:$AG$35,9,FALSE)</f>
        <v>329.66</v>
      </c>
      <c r="AC108">
        <v>67</v>
      </c>
      <c r="AD108" t="s">
        <v>168</v>
      </c>
      <c r="AE108" s="260">
        <f>VLOOKUP($AD108,'Look-ups'!$A$122:$G$130,5,FALSE)</f>
        <v>0.3</v>
      </c>
      <c r="AF108" s="260">
        <f>VLOOKUP($AD108,'Look-ups'!$A$122:$G$130,6,FALSE)</f>
        <v>0.09285714285714286</v>
      </c>
      <c r="AG108" s="260">
        <f>VLOOKUP($AD108,'Look-ups'!$A$122:$G$130,7,FALSE)</f>
        <v>0.6071428571428571</v>
      </c>
      <c r="AH108" s="264">
        <f>VLOOKUP($AC108,'Look-ups'!$A$50:$AO$118,'Look-ups'!$B$133*4,FALSE)*0.277778</f>
        <v>87.75695879724594</v>
      </c>
      <c r="AI108" s="264">
        <f>VLOOKUP($AC108,'Look-ups'!$A$50:$AO$118,'Look-ups'!$B$133*4+1,FALSE)*0.277778</f>
        <v>2.24311320275408</v>
      </c>
      <c r="AJ108" s="264">
        <f>AE108*$AH108/'Look-ups'!$B$141</f>
        <v>34.41449364597881</v>
      </c>
      <c r="AK108" s="264">
        <f>AF108*$AH108/'Look-ups'!$B$140</f>
        <v>11.162822547594885</v>
      </c>
      <c r="AL108" s="264">
        <f>AG108*$AH108/'Look-ups'!$B$137</f>
        <v>10.148763942538645</v>
      </c>
      <c r="AM108" s="264">
        <f>AI108/'Look-ups'!$B$136</f>
        <v>0.47223435847454315</v>
      </c>
      <c r="AN108" s="263">
        <f>AJ108*VLOOKUP($AD108,'Look-ups'!$A$123:$M$130,10,FALSE)</f>
        <v>9.339711192255914</v>
      </c>
      <c r="AO108" s="263">
        <f>AK108*VLOOKUP($AD108,'Look-ups'!$A$123:$M$130,9,FALSE)</f>
        <v>1.6757629208449443</v>
      </c>
      <c r="AP108" s="263">
        <f>(AL108+AM108)*VLOOKUP($AD108,'Look-ups'!$A$123:$M$130,8,FALSE)</f>
        <v>2.934688040552954</v>
      </c>
      <c r="AQ108" s="263">
        <f t="shared" si="2"/>
        <v>13.950162153653812</v>
      </c>
      <c r="AR108" s="265">
        <f>AJ108*VLOOKUP($AD108,'Look-ups'!$A$123:$M$130,11,FALSE)</f>
        <v>0.14867477544434088</v>
      </c>
      <c r="AS108" s="265">
        <f>AK108*VLOOKUP($AD108,'Look-ups'!$A$123:$M$130,12,FALSE)</f>
        <v>2.070850868983564</v>
      </c>
      <c r="AT108" s="265">
        <f>(AL108+AM108)*VLOOKUP($AD108,'Look-ups'!$A$123:$M$130,13,FALSE)</f>
        <v>0.0392976937137488</v>
      </c>
      <c r="AU108" s="265">
        <f t="shared" si="3"/>
        <v>2.2588233381416534</v>
      </c>
    </row>
    <row r="109" spans="1:57" ht="15">
      <c r="A109">
        <v>7000</v>
      </c>
      <c r="B109" t="s">
        <v>394</v>
      </c>
      <c r="C109">
        <v>1347428.7408</v>
      </c>
      <c r="D109">
        <v>79475</v>
      </c>
      <c r="E109">
        <v>0.058982710991316564</v>
      </c>
      <c r="F109" t="s">
        <v>173</v>
      </c>
      <c r="G109" t="s">
        <v>165</v>
      </c>
      <c r="H109">
        <f>VLOOKUP(CONCATENATE($G109,"-",$F109,"-",$H$2),'Look-ups'!$O$3:$S$34,5,FALSE)*VLOOKUP(CONCATENATE($F109,"-",$H$2,"-",H$3),'Look-ups'!$I$3:$M$24,5,FALSE)</f>
        <v>290.66666666666663</v>
      </c>
      <c r="I109">
        <f>VLOOKUP(CONCATENATE($G109,"-",$F109,"-",$H$2),'Look-ups'!$O$3:$S$34,5,FALSE)*VLOOKUP(CONCATENATE($F109,"-",$H$2,"-",I$3),'Look-ups'!$I$3:$M$24,5,FALSE)</f>
        <v>436</v>
      </c>
      <c r="J109">
        <f>VLOOKUP(CONCATENATE($G109,"-",$F109,"-",$H$2),'Look-ups'!$O$3:$S$34,5,FALSE)*VLOOKUP(CONCATENATE($F109,"-",$H$2,"-",J$3),'Look-ups'!$I$3:$M$24,5,FALSE)</f>
        <v>508.6666666666667</v>
      </c>
      <c r="K109">
        <f>VLOOKUP(CONCATENATE($G109,"-",$F109,"-",$H$2),'Look-ups'!$O$3:$S$34,5,FALSE)*VLOOKUP(CONCATENATE($F109,"-",$H$2,"-",K$3),'Look-ups'!$I$3:$M$24,5,FALSE)</f>
        <v>654</v>
      </c>
      <c r="L109">
        <f>VLOOKUP(CONCATENATE($G109,"-",$F109,"-",$H$2),'Look-ups'!$O$3:$S$34,5,FALSE)*VLOOKUP(CONCATENATE($F109,"-",$H$2,"-",L$3),'Look-ups'!$I$3:$M$24,5,FALSE)</f>
        <v>726.6666666666667</v>
      </c>
      <c r="M109">
        <f>VLOOKUP(CONCATENATE($G109,"-",$F109,"-",$H$2),'Look-ups'!$O$3:$S$34,5,FALSE)*VLOOKUP(CONCATENATE($F109,"-",$H$2,"-",M$3),'Look-ups'!$I$3:$M$24,5,FALSE)</f>
        <v>799.3333333333333</v>
      </c>
      <c r="N109">
        <f>VLOOKUP(CONCATENATE($G109,"-",$F109,"-",$N$2),'Look-ups'!$O$3:$S$34,5,FALSE)*VLOOKUP(CONCATENATE($F109,"-",$N$2,"-",N$3),'Look-ups'!$I$3:$M$24,5,FALSE)</f>
        <v>300.75</v>
      </c>
      <c r="O109">
        <f>VLOOKUP(CONCATENATE($G109,"-",$F109,"-",$N$2),'Look-ups'!$O$3:$S$34,5,FALSE)*VLOOKUP(CONCATENATE($F109,"-",$N$2,"-",O$3),'Look-ups'!$I$3:$M$24,5,FALSE)</f>
        <v>300.75</v>
      </c>
      <c r="P109">
        <f>VLOOKUP(CONCATENATE($G109,"-",$F109,"-",$N$2),'Look-ups'!$O$3:$S$34,5,FALSE)*VLOOKUP(CONCATENATE($F109,"-",$N$2,"-",P$3),'Look-ups'!$I$3:$M$24,5,FALSE)</f>
        <v>401</v>
      </c>
      <c r="Q109">
        <f>VLOOKUP(CONCATENATE($G109,"-",$F109,"-",$N$2),'Look-ups'!$O$3:$S$34,5,FALSE)*VLOOKUP(CONCATENATE($F109,"-",$N$2,"-",Q$3),'Look-ups'!$I$3:$M$24,5,FALSE)</f>
        <v>515.5714285714286</v>
      </c>
      <c r="R109">
        <f>VLOOKUP(CONCATENATE($G109,"-",$F109,"-",$N$2),'Look-ups'!$O$3:$S$34,5,FALSE)*VLOOKUP(CONCATENATE($F109,"-",$N$2,"-",R$3),'Look-ups'!$I$3:$M$24,5,FALSE)</f>
        <v>587.1785714285714</v>
      </c>
      <c r="S109" s="117">
        <f>VLOOKUP(CONCATENATE($G109,"-",$F109,"-Lone Person"),'Look-ups'!$Y$4:$AG$35,5,FALSE)</f>
        <v>130.38</v>
      </c>
      <c r="T109">
        <f>VLOOKUP(CONCATENATE($G109,"-",$F109,"-Lone Person"),'Look-ups'!$Y$4:$AG$35,6,FALSE)</f>
        <v>186.56</v>
      </c>
      <c r="U109">
        <f>VLOOKUP(CONCATENATE($G109,"-",$F109,"-Lone Person"),'Look-ups'!$Y$4:$AG$35,7,FALSE)</f>
        <v>223.66000000000003</v>
      </c>
      <c r="V109">
        <f>VLOOKUP(CONCATENATE($G109,"-",$F109,"-Lone Person"),'Look-ups'!$Y$4:$AG$35,8,FALSE)</f>
        <v>273.48</v>
      </c>
      <c r="W109">
        <f>VLOOKUP(CONCATENATE($G109,"-",$F109,"-Lone Person"),'Look-ups'!$Y$4:$AG$35,9,FALSE)</f>
        <v>259.7</v>
      </c>
      <c r="X109" s="117">
        <f>VLOOKUP(CONCATENATE($G109,"-",$F109,"-Couple Only"),'Look-ups'!$Y$4:$AG$35,5,FALSE)</f>
        <v>210.94</v>
      </c>
      <c r="Y109">
        <f>VLOOKUP(CONCATENATE($G109,"-",$F109,"-Couple Only"),'Look-ups'!$Y$4:$AG$35,6,FALSE)</f>
        <v>200.34</v>
      </c>
      <c r="Z109">
        <f>VLOOKUP(CONCATENATE($G109,"-",$F109,"-Couple Only"),'Look-ups'!$Y$4:$AG$35,7,FALSE)</f>
        <v>225.78</v>
      </c>
      <c r="AA109">
        <f>VLOOKUP(CONCATENATE($G109,"-",$F109,"-Couple Only"),'Look-ups'!$Y$4:$AG$35,8,FALSE)</f>
        <v>250.16000000000003</v>
      </c>
      <c r="AB109">
        <f>VLOOKUP(CONCATENATE($G109,"-",$F109,"-Couple Only"),'Look-ups'!$Y$4:$AG$35,9,FALSE)</f>
        <v>313.76</v>
      </c>
      <c r="AC109">
        <v>37</v>
      </c>
      <c r="AD109" t="s">
        <v>165</v>
      </c>
      <c r="AE109" s="260">
        <f>VLOOKUP($AD109,'Look-ups'!$A$122:$G$130,5,FALSE)</f>
        <v>0.027027027027027032</v>
      </c>
      <c r="AF109" s="260">
        <f>VLOOKUP($AD109,'Look-ups'!$A$122:$G$130,6,FALSE)</f>
        <v>0.10810810810810813</v>
      </c>
      <c r="AG109" s="260">
        <f>VLOOKUP($AD109,'Look-ups'!$A$122:$G$130,7,FALSE)</f>
        <v>0.8648648648648648</v>
      </c>
      <c r="AH109" s="264">
        <f>VLOOKUP($AC109,'Look-ups'!$A$50:$AO$118,'Look-ups'!$B$133*4,FALSE)*0.277778</f>
        <v>0.0326148735215315</v>
      </c>
      <c r="AI109" s="264">
        <f>VLOOKUP($AC109,'Look-ups'!$A$50:$AO$118,'Look-ups'!$B$133*4+1,FALSE)*0.277778</f>
        <v>105.52302512647847</v>
      </c>
      <c r="AJ109" s="264">
        <f>AE109*$AH109/'Look-ups'!$B$141</f>
        <v>0.0011522654485614384</v>
      </c>
      <c r="AK109" s="264">
        <f>AF109*$AH109/'Look-ups'!$B$140</f>
        <v>0.004830044209038357</v>
      </c>
      <c r="AL109" s="264">
        <f>AG109*$AH109/'Look-ups'!$B$137</f>
        <v>0.00537284917729219</v>
      </c>
      <c r="AM109" s="264">
        <f>AI109/'Look-ups'!$B$136</f>
        <v>22.21537371083757</v>
      </c>
      <c r="AN109" s="263">
        <f>AJ109*VLOOKUP($AD109,'Look-ups'!$A$123:$M$130,10,FALSE)</f>
        <v>0.0003127120397901459</v>
      </c>
      <c r="AO109" s="263">
        <f>AK109*VLOOKUP($AD109,'Look-ups'!$A$123:$M$130,9,FALSE)</f>
        <v>0.0028980265254230143</v>
      </c>
      <c r="AP109" s="263">
        <f>(AL109+AM109)*VLOOKUP($AD109,'Look-ups'!$A$123:$M$130,8,FALSE)</f>
        <v>6.082396072886629</v>
      </c>
      <c r="AQ109" s="263">
        <f t="shared" si="2"/>
        <v>6.085606811451843</v>
      </c>
      <c r="AR109" s="265">
        <f>AJ109*VLOOKUP($AD109,'Look-ups'!$A$123:$M$130,11,FALSE)</f>
        <v>4.977926119716766E-06</v>
      </c>
      <c r="AS109" s="265">
        <f>AK109*VLOOKUP($AD109,'Look-ups'!$A$123:$M$130,12,FALSE)</f>
        <v>0.0008960369301643323</v>
      </c>
      <c r="AT109" s="265">
        <f>(AL109+AM109)*VLOOKUP($AD109,'Look-ups'!$A$123:$M$130,13,FALSE)</f>
        <v>4.130836785506763</v>
      </c>
      <c r="AU109" s="265">
        <f t="shared" si="3"/>
        <v>4.131737800363047</v>
      </c>
      <c r="BE109" s="117"/>
    </row>
    <row r="110" spans="1:57" s="117" customFormat="1" ht="15">
      <c r="A110" s="117">
        <v>7001</v>
      </c>
      <c r="B110" s="117" t="s">
        <v>395</v>
      </c>
      <c r="C110" s="117">
        <v>327.713199999999</v>
      </c>
      <c r="D110" s="117">
        <v>25912</v>
      </c>
      <c r="E110" s="117">
        <v>79.06913728223361</v>
      </c>
      <c r="F110" s="117" t="s">
        <v>173</v>
      </c>
      <c r="G110" s="117" t="s">
        <v>165</v>
      </c>
      <c r="H110" s="117">
        <f>VLOOKUP(CONCATENATE($G110,"-",$F110,"-",$H$2),'Look-ups'!$O$3:$S$34,5,FALSE)*VLOOKUP(CONCATENATE($F110,"-",$H$2,"-",H$3),'Look-ups'!$I$3:$M$24,5,FALSE)</f>
        <v>290.66666666666663</v>
      </c>
      <c r="I110" s="117">
        <f>VLOOKUP(CONCATENATE($G110,"-",$F110,"-",$H$2),'Look-ups'!$O$3:$S$34,5,FALSE)*VLOOKUP(CONCATENATE($F110,"-",$H$2,"-",I$3),'Look-ups'!$I$3:$M$24,5,FALSE)</f>
        <v>436</v>
      </c>
      <c r="J110" s="117">
        <f>VLOOKUP(CONCATENATE($G110,"-",$F110,"-",$H$2),'Look-ups'!$O$3:$S$34,5,FALSE)*VLOOKUP(CONCATENATE($F110,"-",$H$2,"-",J$3),'Look-ups'!$I$3:$M$24,5,FALSE)</f>
        <v>508.6666666666667</v>
      </c>
      <c r="K110" s="117">
        <f>VLOOKUP(CONCATENATE($G110,"-",$F110,"-",$H$2),'Look-ups'!$O$3:$S$34,5,FALSE)*VLOOKUP(CONCATENATE($F110,"-",$H$2,"-",K$3),'Look-ups'!$I$3:$M$24,5,FALSE)</f>
        <v>654</v>
      </c>
      <c r="L110" s="117">
        <f>VLOOKUP(CONCATENATE($G110,"-",$F110,"-",$H$2),'Look-ups'!$O$3:$S$34,5,FALSE)*VLOOKUP(CONCATENATE($F110,"-",$H$2,"-",L$3),'Look-ups'!$I$3:$M$24,5,FALSE)</f>
        <v>726.6666666666667</v>
      </c>
      <c r="M110" s="117">
        <f>VLOOKUP(CONCATENATE($G110,"-",$F110,"-",$H$2),'Look-ups'!$O$3:$S$34,5,FALSE)*VLOOKUP(CONCATENATE($F110,"-",$H$2,"-",M$3),'Look-ups'!$I$3:$M$24,5,FALSE)</f>
        <v>799.3333333333333</v>
      </c>
      <c r="N110" s="117">
        <f>VLOOKUP(CONCATENATE($G110,"-",$F110,"-",$N$2),'Look-ups'!$O$3:$S$34,5,FALSE)*VLOOKUP(CONCATENATE($F110,"-",$N$2,"-",N$3),'Look-ups'!$I$3:$M$24,5,FALSE)</f>
        <v>300.75</v>
      </c>
      <c r="O110" s="117">
        <f>VLOOKUP(CONCATENATE($G110,"-",$F110,"-",$N$2),'Look-ups'!$O$3:$S$34,5,FALSE)*VLOOKUP(CONCATENATE($F110,"-",$N$2,"-",O$3),'Look-ups'!$I$3:$M$24,5,FALSE)</f>
        <v>300.75</v>
      </c>
      <c r="P110" s="117">
        <f>VLOOKUP(CONCATENATE($G110,"-",$F110,"-",$N$2),'Look-ups'!$O$3:$S$34,5,FALSE)*VLOOKUP(CONCATENATE($F110,"-",$N$2,"-",P$3),'Look-ups'!$I$3:$M$24,5,FALSE)</f>
        <v>401</v>
      </c>
      <c r="Q110" s="117">
        <f>VLOOKUP(CONCATENATE($G110,"-",$F110,"-",$N$2),'Look-ups'!$O$3:$S$34,5,FALSE)*VLOOKUP(CONCATENATE($F110,"-",$N$2,"-",Q$3),'Look-ups'!$I$3:$M$24,5,FALSE)</f>
        <v>515.5714285714286</v>
      </c>
      <c r="R110" s="117">
        <f>VLOOKUP(CONCATENATE($G110,"-",$F110,"-",$N$2),'Look-ups'!$O$3:$S$34,5,FALSE)*VLOOKUP(CONCATENATE($F110,"-",$N$2,"-",R$3),'Look-ups'!$I$3:$M$24,5,FALSE)</f>
        <v>587.1785714285714</v>
      </c>
      <c r="S110" s="117">
        <f>VLOOKUP(CONCATENATE($G110,"-",$F110,"-Lone Person"),'Look-ups'!$Y$4:$AG$35,5,FALSE)</f>
        <v>130.38</v>
      </c>
      <c r="T110" s="117">
        <f>VLOOKUP(CONCATENATE($G110,"-",$F110,"-Lone Person"),'Look-ups'!$Y$4:$AG$35,6,FALSE)</f>
        <v>186.56</v>
      </c>
      <c r="U110" s="117">
        <f>VLOOKUP(CONCATENATE($G110,"-",$F110,"-Lone Person"),'Look-ups'!$Y$4:$AG$35,7,FALSE)</f>
        <v>223.66000000000003</v>
      </c>
      <c r="V110" s="117">
        <f>VLOOKUP(CONCATENATE($G110,"-",$F110,"-Lone Person"),'Look-ups'!$Y$4:$AG$35,8,FALSE)</f>
        <v>273.48</v>
      </c>
      <c r="W110" s="117">
        <f>VLOOKUP(CONCATENATE($G110,"-",$F110,"-Lone Person"),'Look-ups'!$Y$4:$AG$35,9,FALSE)</f>
        <v>259.7</v>
      </c>
      <c r="X110" s="117">
        <f>VLOOKUP(CONCATENATE($G110,"-",$F110,"-Couple Only"),'Look-ups'!$Y$4:$AG$35,5,FALSE)</f>
        <v>210.94</v>
      </c>
      <c r="Y110" s="117">
        <f>VLOOKUP(CONCATENATE($G110,"-",$F110,"-Couple Only"),'Look-ups'!$Y$4:$AG$35,6,FALSE)</f>
        <v>200.34</v>
      </c>
      <c r="Z110" s="117">
        <f>VLOOKUP(CONCATENATE($G110,"-",$F110,"-Couple Only"),'Look-ups'!$Y$4:$AG$35,7,FALSE)</f>
        <v>225.78</v>
      </c>
      <c r="AA110" s="117">
        <f>VLOOKUP(CONCATENATE($G110,"-",$F110,"-Couple Only"),'Look-ups'!$Y$4:$AG$35,8,FALSE)</f>
        <v>250.16000000000003</v>
      </c>
      <c r="AB110" s="117">
        <f>VLOOKUP(CONCATENATE($G110,"-",$F110,"-Couple Only"),'Look-ups'!$Y$4:$AG$35,9,FALSE)</f>
        <v>313.76</v>
      </c>
      <c r="AC110" s="117">
        <v>6</v>
      </c>
      <c r="AD110" s="117" t="s">
        <v>165</v>
      </c>
      <c r="AE110" s="302">
        <f>VLOOKUP($AD110,'Look-ups'!$A$122:$G$130,5,FALSE)</f>
        <v>0.027027027027027032</v>
      </c>
      <c r="AF110" s="302">
        <f>VLOOKUP($AD110,'Look-ups'!$A$122:$G$130,6,FALSE)</f>
        <v>0.10810810810810813</v>
      </c>
      <c r="AG110" s="302">
        <f>VLOOKUP($AD110,'Look-ups'!$A$122:$G$130,7,FALSE)</f>
        <v>0.8648648648648648</v>
      </c>
      <c r="AH110" s="303">
        <f>VLOOKUP($AC110,'Look-ups'!$A$50:$AO$118,'Look-ups'!$B$133*4,FALSE)*0.277778</f>
        <v>18.129584109645045</v>
      </c>
      <c r="AI110" s="303">
        <f>VLOOKUP($AC110,'Look-ups'!$A$50:$AO$118,'Look-ups'!$B$133*4+1,FALSE)*0.277778</f>
        <v>54.09269589035496</v>
      </c>
      <c r="AJ110" s="303">
        <f>AE110*$AH110/'Look-ups'!$B$141</f>
        <v>0.6405081826407013</v>
      </c>
      <c r="AK110" s="303">
        <f>AF110*$AH110/'Look-ups'!$B$140</f>
        <v>2.6848699162747205</v>
      </c>
      <c r="AL110" s="303">
        <f>AG110*$AH110/'Look-ups'!$B$137</f>
        <v>2.98659815448464</v>
      </c>
      <c r="AM110" s="303">
        <f>AI110/'Look-ups'!$B$136</f>
        <v>11.387935976916834</v>
      </c>
      <c r="AN110" s="304">
        <f>AJ110*VLOOKUP($AD110,'Look-ups'!$A$123:$M$130,10,FALSE)</f>
        <v>0.1738268040111014</v>
      </c>
      <c r="AO110" s="304">
        <f>AK110*VLOOKUP($AD110,'Look-ups'!$A$123:$M$130,9,FALSE)</f>
        <v>1.6109219497648322</v>
      </c>
      <c r="AP110" s="304">
        <f>(AL110+AM110)*VLOOKUP($AD110,'Look-ups'!$A$123:$M$130,8,FALSE)</f>
        <v>3.9346837296520007</v>
      </c>
      <c r="AQ110" s="304">
        <f t="shared" si="2"/>
        <v>5.719432483427934</v>
      </c>
      <c r="AR110" s="305">
        <f>AJ110*VLOOKUP($AD110,'Look-ups'!$A$123:$M$130,11,FALSE)</f>
        <v>0.0027670728270469866</v>
      </c>
      <c r="AS110" s="305">
        <f>AK110*VLOOKUP($AD110,'Look-ups'!$A$123:$M$130,12,FALSE)</f>
        <v>0.49807879463454063</v>
      </c>
      <c r="AT110" s="305">
        <f>(AL110+AM110)*VLOOKUP($AD110,'Look-ups'!$A$123:$M$130,13,FALSE)</f>
        <v>2.6722258950275344</v>
      </c>
      <c r="AU110" s="305">
        <f t="shared" si="3"/>
        <v>3.173071762489122</v>
      </c>
      <c r="BE110"/>
    </row>
    <row r="111" spans="1:47" ht="15">
      <c r="A111">
        <v>7002</v>
      </c>
      <c r="B111" t="s">
        <v>396</v>
      </c>
      <c r="C111">
        <v>378.0391</v>
      </c>
      <c r="D111">
        <v>127215</v>
      </c>
      <c r="E111">
        <v>336.51281044738494</v>
      </c>
      <c r="F111" t="s">
        <v>172</v>
      </c>
      <c r="G111" t="s">
        <v>165</v>
      </c>
      <c r="H111">
        <f>VLOOKUP(CONCATENATE($G111,"-",$F111,"-",$H$2),'Look-ups'!$O$3:$S$34,5,FALSE)*VLOOKUP(CONCATENATE($F111,"-",$H$2,"-",H$3),'Look-ups'!$I$3:$M$24,5,FALSE)</f>
        <v>291.66666666666663</v>
      </c>
      <c r="I111">
        <f>VLOOKUP(CONCATENATE($G111,"-",$F111,"-",$H$2),'Look-ups'!$O$3:$S$34,5,FALSE)*VLOOKUP(CONCATENATE($F111,"-",$H$2,"-",I$3),'Look-ups'!$I$3:$M$24,5,FALSE)</f>
        <v>420</v>
      </c>
      <c r="J111">
        <f>VLOOKUP(CONCATENATE($G111,"-",$F111,"-",$H$2),'Look-ups'!$O$3:$S$34,5,FALSE)*VLOOKUP(CONCATENATE($F111,"-",$H$2,"-",J$3),'Look-ups'!$I$3:$M$24,5,FALSE)</f>
        <v>513.3333333333334</v>
      </c>
      <c r="K111">
        <f>VLOOKUP(CONCATENATE($G111,"-",$F111,"-",$H$2),'Look-ups'!$O$3:$S$34,5,FALSE)*VLOOKUP(CONCATENATE($F111,"-",$H$2,"-",K$3),'Look-ups'!$I$3:$M$24,5,FALSE)</f>
        <v>653.3333333333334</v>
      </c>
      <c r="L111">
        <f>VLOOKUP(CONCATENATE($G111,"-",$F111,"-",$H$2),'Look-ups'!$O$3:$S$34,5,FALSE)*VLOOKUP(CONCATENATE($F111,"-",$H$2,"-",L$3),'Look-ups'!$I$3:$M$24,5,FALSE)</f>
        <v>787.5</v>
      </c>
      <c r="M111">
        <f>VLOOKUP(CONCATENATE($G111,"-",$F111,"-",$H$2),'Look-ups'!$O$3:$S$34,5,FALSE)*VLOOKUP(CONCATENATE($F111,"-",$H$2,"-",M$3),'Look-ups'!$I$3:$M$24,5,FALSE)</f>
        <v>875.0000000000001</v>
      </c>
      <c r="N111">
        <f>VLOOKUP(CONCATENATE($G111,"-",$F111,"-",$N$2),'Look-ups'!$O$3:$S$34,5,FALSE)*VLOOKUP(CONCATENATE($F111,"-",$N$2,"-",N$3),'Look-ups'!$I$3:$M$24,5,FALSE)</f>
        <v>275.25333333333333</v>
      </c>
      <c r="O111">
        <f>VLOOKUP(CONCATENATE($G111,"-",$F111,"-",$N$2),'Look-ups'!$O$3:$S$34,5,FALSE)*VLOOKUP(CONCATENATE($F111,"-",$N$2,"-",O$3),'Look-ups'!$I$3:$M$24,5,FALSE)</f>
        <v>370.53333333333336</v>
      </c>
      <c r="P111">
        <f>VLOOKUP(CONCATENATE($G111,"-",$F111,"-",$N$2),'Look-ups'!$O$3:$S$34,5,FALSE)*VLOOKUP(CONCATENATE($F111,"-",$N$2,"-",P$3),'Look-ups'!$I$3:$M$24,5,FALSE)</f>
        <v>397</v>
      </c>
      <c r="Q111">
        <f>VLOOKUP(CONCATENATE($G111,"-",$F111,"-",$N$2),'Look-ups'!$O$3:$S$34,5,FALSE)*VLOOKUP(CONCATENATE($F111,"-",$N$2,"-",Q$3),'Look-ups'!$I$3:$M$24,5,FALSE)</f>
        <v>518.7466666666667</v>
      </c>
      <c r="R111">
        <f>VLOOKUP(CONCATENATE($G111,"-",$F111,"-",$N$2),'Look-ups'!$O$3:$S$34,5,FALSE)*VLOOKUP(CONCATENATE($F111,"-",$N$2,"-",R$3),'Look-ups'!$I$3:$M$24,5,FALSE)</f>
        <v>582.2666666666667</v>
      </c>
      <c r="S111" s="117">
        <f>VLOOKUP(CONCATENATE($G111,"-",$F111,"-Lone Person"),'Look-ups'!$Y$4:$AG$35,5,FALSE)</f>
        <v>130.38</v>
      </c>
      <c r="T111">
        <f>VLOOKUP(CONCATENATE($G111,"-",$F111,"-Lone Person"),'Look-ups'!$Y$4:$AG$35,6,FALSE)</f>
        <v>186.56</v>
      </c>
      <c r="U111">
        <f>VLOOKUP(CONCATENATE($G111,"-",$F111,"-Lone Person"),'Look-ups'!$Y$4:$AG$35,7,FALSE)</f>
        <v>223.66000000000003</v>
      </c>
      <c r="V111">
        <f>VLOOKUP(CONCATENATE($G111,"-",$F111,"-Lone Person"),'Look-ups'!$Y$4:$AG$35,8,FALSE)</f>
        <v>273.48</v>
      </c>
      <c r="W111">
        <f>VLOOKUP(CONCATENATE($G111,"-",$F111,"-Lone Person"),'Look-ups'!$Y$4:$AG$35,9,FALSE)</f>
        <v>259.7</v>
      </c>
      <c r="X111" s="117">
        <f>VLOOKUP(CONCATENATE($G111,"-",$F111,"-Couple Only"),'Look-ups'!$Y$4:$AG$35,5,FALSE)</f>
        <v>210.94</v>
      </c>
      <c r="Y111">
        <f>VLOOKUP(CONCATENATE($G111,"-",$F111,"-Couple Only"),'Look-ups'!$Y$4:$AG$35,6,FALSE)</f>
        <v>200.34</v>
      </c>
      <c r="Z111">
        <f>VLOOKUP(CONCATENATE($G111,"-",$F111,"-Couple Only"),'Look-ups'!$Y$4:$AG$35,7,FALSE)</f>
        <v>225.78</v>
      </c>
      <c r="AA111">
        <f>VLOOKUP(CONCATENATE($G111,"-",$F111,"-Couple Only"),'Look-ups'!$Y$4:$AG$35,8,FALSE)</f>
        <v>250.16000000000003</v>
      </c>
      <c r="AB111">
        <f>VLOOKUP(CONCATENATE($G111,"-",$F111,"-Couple Only"),'Look-ups'!$Y$4:$AG$35,9,FALSE)</f>
        <v>313.76</v>
      </c>
      <c r="AC111">
        <v>1</v>
      </c>
      <c r="AD111" t="s">
        <v>165</v>
      </c>
      <c r="AE111" s="260">
        <f>VLOOKUP($AD111,'Look-ups'!$A$122:$G$130,5,FALSE)</f>
        <v>0.027027027027027032</v>
      </c>
      <c r="AF111" s="260">
        <f>VLOOKUP($AD111,'Look-ups'!$A$122:$G$130,6,FALSE)</f>
        <v>0.10810810810810813</v>
      </c>
      <c r="AG111" s="260">
        <f>VLOOKUP($AD111,'Look-ups'!$A$122:$G$130,7,FALSE)</f>
        <v>0.8648648648648648</v>
      </c>
      <c r="AH111" s="264">
        <f>VLOOKUP($AC111,'Look-ups'!$A$50:$AO$118,'Look-ups'!$B$133*4,FALSE)*0.277778</f>
        <v>0</v>
      </c>
      <c r="AI111" s="264">
        <f>VLOOKUP($AC111,'Look-ups'!$A$50:$AO$118,'Look-ups'!$B$133*4+1,FALSE)*0.277778</f>
        <v>148.61123</v>
      </c>
      <c r="AJ111" s="264">
        <f>AE111*$AH111/'Look-ups'!$B$141</f>
        <v>0</v>
      </c>
      <c r="AK111" s="264">
        <f>AF111*$AH111/'Look-ups'!$B$140</f>
        <v>0</v>
      </c>
      <c r="AL111" s="264">
        <f>AG111*$AH111/'Look-ups'!$B$137</f>
        <v>0</v>
      </c>
      <c r="AM111" s="264">
        <f>AI111/'Look-ups'!$B$136</f>
        <v>31.286574736842105</v>
      </c>
      <c r="AN111" s="263">
        <f>AJ111*VLOOKUP($AD111,'Look-ups'!$A$123:$M$130,10,FALSE)</f>
        <v>0</v>
      </c>
      <c r="AO111" s="263">
        <f>AK111*VLOOKUP($AD111,'Look-ups'!$A$123:$M$130,9,FALSE)</f>
        <v>0</v>
      </c>
      <c r="AP111" s="263">
        <f>(AL111+AM111)*VLOOKUP($AD111,'Look-ups'!$A$123:$M$130,8,FALSE)</f>
        <v>8.563948956416843</v>
      </c>
      <c r="AQ111" s="263">
        <f t="shared" si="2"/>
        <v>8.563948956416843</v>
      </c>
      <c r="AR111" s="265">
        <f>AJ111*VLOOKUP($AD111,'Look-ups'!$A$123:$M$130,11,FALSE)</f>
        <v>0</v>
      </c>
      <c r="AS111" s="265">
        <f>AK111*VLOOKUP($AD111,'Look-ups'!$A$123:$M$130,12,FALSE)</f>
        <v>0</v>
      </c>
      <c r="AT111" s="265">
        <f>(AL111+AM111)*VLOOKUP($AD111,'Look-ups'!$A$123:$M$130,13,FALSE)</f>
        <v>5.816174243578947</v>
      </c>
      <c r="AU111" s="265">
        <f t="shared" si="3"/>
        <v>5.816174243578947</v>
      </c>
    </row>
    <row r="112" spans="1:47" ht="15">
      <c r="A112">
        <v>8000</v>
      </c>
      <c r="B112" t="s">
        <v>397</v>
      </c>
      <c r="C112">
        <v>1879.46209999999</v>
      </c>
      <c r="D112">
        <v>1666</v>
      </c>
      <c r="E112">
        <v>0.8864238337128527</v>
      </c>
      <c r="F112" t="s">
        <v>173</v>
      </c>
      <c r="G112" t="s">
        <v>163</v>
      </c>
      <c r="H112">
        <f>VLOOKUP(CONCATENATE($G112,"-",$F112,"-",$H$2),'Look-ups'!$O$3:$S$34,5,FALSE)*VLOOKUP(CONCATENATE($F112,"-",$H$2,"-",H$3),'Look-ups'!$I$3:$M$24,5,FALSE)</f>
        <v>356</v>
      </c>
      <c r="I112">
        <f>VLOOKUP(CONCATENATE($G112,"-",$F112,"-",$H$2),'Look-ups'!$O$3:$S$34,5,FALSE)*VLOOKUP(CONCATENATE($F112,"-",$H$2,"-",I$3),'Look-ups'!$I$3:$M$24,5,FALSE)</f>
        <v>534</v>
      </c>
      <c r="J112">
        <f>VLOOKUP(CONCATENATE($G112,"-",$F112,"-",$H$2),'Look-ups'!$O$3:$S$34,5,FALSE)*VLOOKUP(CONCATENATE($F112,"-",$H$2,"-",J$3),'Look-ups'!$I$3:$M$24,5,FALSE)</f>
        <v>623</v>
      </c>
      <c r="K112">
        <f>VLOOKUP(CONCATENATE($G112,"-",$F112,"-",$H$2),'Look-ups'!$O$3:$S$34,5,FALSE)*VLOOKUP(CONCATENATE($F112,"-",$H$2,"-",K$3),'Look-ups'!$I$3:$M$24,5,FALSE)</f>
        <v>801</v>
      </c>
      <c r="L112">
        <f>VLOOKUP(CONCATENATE($G112,"-",$F112,"-",$H$2),'Look-ups'!$O$3:$S$34,5,FALSE)*VLOOKUP(CONCATENATE($F112,"-",$H$2,"-",L$3),'Look-ups'!$I$3:$M$24,5,FALSE)</f>
        <v>890</v>
      </c>
      <c r="M112">
        <f>VLOOKUP(CONCATENATE($G112,"-",$F112,"-",$H$2),'Look-ups'!$O$3:$S$34,5,FALSE)*VLOOKUP(CONCATENATE($F112,"-",$H$2,"-",M$3),'Look-ups'!$I$3:$M$24,5,FALSE)</f>
        <v>979</v>
      </c>
      <c r="N112">
        <f>VLOOKUP(CONCATENATE($G112,"-",$F112,"-",$N$2),'Look-ups'!$O$3:$S$34,5,FALSE)*VLOOKUP(CONCATENATE($F112,"-",$N$2,"-",N$3),'Look-ups'!$I$3:$M$24,5,FALSE)</f>
        <v>375.75</v>
      </c>
      <c r="O112">
        <f>VLOOKUP(CONCATENATE($G112,"-",$F112,"-",$N$2),'Look-ups'!$O$3:$S$34,5,FALSE)*VLOOKUP(CONCATENATE($F112,"-",$N$2,"-",O$3),'Look-ups'!$I$3:$M$24,5,FALSE)</f>
        <v>375.75</v>
      </c>
      <c r="P112">
        <f>VLOOKUP(CONCATENATE($G112,"-",$F112,"-",$N$2),'Look-ups'!$O$3:$S$34,5,FALSE)*VLOOKUP(CONCATENATE($F112,"-",$N$2,"-",P$3),'Look-ups'!$I$3:$M$24,5,FALSE)</f>
        <v>501</v>
      </c>
      <c r="Q112">
        <f>VLOOKUP(CONCATENATE($G112,"-",$F112,"-",$N$2),'Look-ups'!$O$3:$S$34,5,FALSE)*VLOOKUP(CONCATENATE($F112,"-",$N$2,"-",Q$3),'Look-ups'!$I$3:$M$24,5,FALSE)</f>
        <v>644.1428571428572</v>
      </c>
      <c r="R112">
        <f>VLOOKUP(CONCATENATE($G112,"-",$F112,"-",$N$2),'Look-ups'!$O$3:$S$34,5,FALSE)*VLOOKUP(CONCATENATE($F112,"-",$N$2,"-",R$3),'Look-ups'!$I$3:$M$24,5,FALSE)</f>
        <v>733.6071428571428</v>
      </c>
      <c r="S112" s="117">
        <f>VLOOKUP(CONCATENATE($G112,"-",$F112,"-Lone Person"),'Look-ups'!$Y$4:$AG$35,5,FALSE)</f>
        <v>91.16000000000001</v>
      </c>
      <c r="T112">
        <f>VLOOKUP(CONCATENATE($G112,"-",$F112,"-Lone Person"),'Look-ups'!$Y$4:$AG$35,6,FALSE)</f>
        <v>130.38</v>
      </c>
      <c r="U112">
        <f>VLOOKUP(CONCATENATE($G112,"-",$F112,"-Lone Person"),'Look-ups'!$Y$4:$AG$35,7,FALSE)</f>
        <v>155.82000000000002</v>
      </c>
      <c r="V112">
        <f>VLOOKUP(CONCATENATE($G112,"-",$F112,"-Lone Person"),'Look-ups'!$Y$4:$AG$35,8,FALSE)</f>
        <v>190.8</v>
      </c>
      <c r="W112">
        <f>VLOOKUP(CONCATENATE($G112,"-",$F112,"-Lone Person"),'Look-ups'!$Y$4:$AG$35,9,FALSE)</f>
        <v>181.26000000000002</v>
      </c>
      <c r="X112" s="117">
        <f>VLOOKUP(CONCATENATE($G112,"-",$F112,"-Couple Only"),'Look-ups'!$Y$4:$AG$35,5,FALSE)</f>
        <v>147.34</v>
      </c>
      <c r="Y112">
        <f>VLOOKUP(CONCATENATE($G112,"-",$F112,"-Couple Only"),'Look-ups'!$Y$4:$AG$35,6,FALSE)</f>
        <v>138.86</v>
      </c>
      <c r="Z112">
        <f>VLOOKUP(CONCATENATE($G112,"-",$F112,"-Couple Only"),'Look-ups'!$Y$4:$AG$35,7,FALSE)</f>
        <v>156.88</v>
      </c>
      <c r="AA112">
        <f>VLOOKUP(CONCATENATE($G112,"-",$F112,"-Couple Only"),'Look-ups'!$Y$4:$AG$35,8,FALSE)</f>
        <v>173.84</v>
      </c>
      <c r="AB112">
        <f>VLOOKUP(CONCATENATE($G112,"-",$F112,"-Couple Only"),'Look-ups'!$Y$4:$AG$35,9,FALSE)</f>
        <v>218.36</v>
      </c>
      <c r="AC112">
        <v>24</v>
      </c>
      <c r="AD112" t="s">
        <v>163</v>
      </c>
      <c r="AE112" s="260">
        <f>VLOOKUP($AD112,'Look-ups'!$A$122:$G$130,5,FALSE)</f>
        <v>0.09143686502177067</v>
      </c>
      <c r="AF112" s="260">
        <f>VLOOKUP($AD112,'Look-ups'!$A$122:$G$130,6,FALSE)</f>
        <v>0.2815674891146589</v>
      </c>
      <c r="AG112" s="260">
        <f>VLOOKUP($AD112,'Look-ups'!$A$122:$G$130,7,FALSE)</f>
        <v>0.6269956458635704</v>
      </c>
      <c r="AH112" s="264">
        <f>VLOOKUP($AC112,'Look-ups'!$A$50:$AO$118,'Look-ups'!$B$133*4,FALSE)*0.277778</f>
        <v>103.01123319633932</v>
      </c>
      <c r="AI112" s="264">
        <f>VLOOKUP($AC112,'Look-ups'!$A$50:$AO$118,'Look-ups'!$B$133*4+1,FALSE)*0.277778</f>
        <v>16.98886280366069</v>
      </c>
      <c r="AJ112" s="264">
        <f>AE112*$AH112/'Look-ups'!$B$141</f>
        <v>12.312449967973622</v>
      </c>
      <c r="AK112" s="264">
        <f>AF112*$AH112/'Look-ups'!$B$140</f>
        <v>39.732348331092965</v>
      </c>
      <c r="AL112" s="264">
        <f>AG112*$AH112/'Look-ups'!$B$137</f>
        <v>12.302398988407928</v>
      </c>
      <c r="AM112" s="264">
        <f>AI112/'Look-ups'!$B$136</f>
        <v>3.576602695507514</v>
      </c>
      <c r="AN112" s="263">
        <f>AJ112*VLOOKUP($AD112,'Look-ups'!$A$123:$M$130,10,FALSE)</f>
        <v>3.341462116308396</v>
      </c>
      <c r="AO112" s="263">
        <f>AK112*VLOOKUP($AD112,'Look-ups'!$A$123:$M$130,9,FALSE)</f>
        <v>6.179174812451578</v>
      </c>
      <c r="AP112" s="263">
        <f>(AL112+AM112)*VLOOKUP($AD112,'Look-ups'!$A$123:$M$130,8,FALSE)</f>
        <v>4.736202837958596</v>
      </c>
      <c r="AQ112" s="263">
        <f aca="true" t="shared" si="4" ref="AQ112">SUM(AN112:AP112)</f>
        <v>14.25683976671857</v>
      </c>
      <c r="AR112" s="265">
        <f>AJ112*VLOOKUP($AD112,'Look-ups'!$A$123:$M$130,11,FALSE)</f>
        <v>0.05319127321729613</v>
      </c>
      <c r="AS112" s="265">
        <f>AK112*VLOOKUP($AD112,'Look-ups'!$A$123:$M$130,12,FALSE)</f>
        <v>7.370874858700438</v>
      </c>
      <c r="AT112" s="265">
        <f>(AL112+AM112)*VLOOKUP($AD112,'Look-ups'!$A$123:$M$130,13,FALSE)</f>
        <v>4.087255033439835</v>
      </c>
      <c r="AU112" s="265">
        <f aca="true" t="shared" si="5" ref="AU112">SUM(AR112:AT112)</f>
        <v>11.511321165357568</v>
      </c>
    </row>
    <row r="113" spans="1:47" ht="15">
      <c r="A113">
        <v>8001</v>
      </c>
      <c r="B113" t="s">
        <v>398</v>
      </c>
      <c r="C113">
        <v>517.093399999999</v>
      </c>
      <c r="D113">
        <v>490517</v>
      </c>
      <c r="E113">
        <v>948.6042560202876</v>
      </c>
      <c r="F113" t="s">
        <v>172</v>
      </c>
      <c r="G113" t="s">
        <v>163</v>
      </c>
      <c r="H113">
        <f>VLOOKUP(CONCATENATE($G113,"-",$F113,"-",$H$2),'Look-ups'!$O$3:$S$34,5,FALSE)*VLOOKUP(CONCATENATE($F113,"-",$H$2,"-",H$3),'Look-ups'!$I$3:$M$24,5,FALSE)</f>
        <v>359.02777777777777</v>
      </c>
      <c r="I113">
        <f>VLOOKUP(CONCATENATE($G113,"-",$F113,"-",$H$2),'Look-ups'!$O$3:$S$34,5,FALSE)*VLOOKUP(CONCATENATE($F113,"-",$H$2,"-",I$3),'Look-ups'!$I$3:$M$24,5,FALSE)</f>
        <v>517</v>
      </c>
      <c r="J113">
        <f>VLOOKUP(CONCATENATE($G113,"-",$F113,"-",$H$2),'Look-ups'!$O$3:$S$34,5,FALSE)*VLOOKUP(CONCATENATE($F113,"-",$H$2,"-",J$3),'Look-ups'!$I$3:$M$24,5,FALSE)</f>
        <v>631.8888888888889</v>
      </c>
      <c r="K113">
        <f>VLOOKUP(CONCATENATE($G113,"-",$F113,"-",$H$2),'Look-ups'!$O$3:$S$34,5,FALSE)*VLOOKUP(CONCATENATE($F113,"-",$H$2,"-",K$3),'Look-ups'!$I$3:$M$24,5,FALSE)</f>
        <v>804.2222222222223</v>
      </c>
      <c r="L113">
        <f>VLOOKUP(CONCATENATE($G113,"-",$F113,"-",$H$2),'Look-ups'!$O$3:$S$34,5,FALSE)*VLOOKUP(CONCATENATE($F113,"-",$H$2,"-",L$3),'Look-ups'!$I$3:$M$24,5,FALSE)</f>
        <v>969.375</v>
      </c>
      <c r="M113">
        <f>VLOOKUP(CONCATENATE($G113,"-",$F113,"-",$H$2),'Look-ups'!$O$3:$S$34,5,FALSE)*VLOOKUP(CONCATENATE($F113,"-",$H$2,"-",M$3),'Look-ups'!$I$3:$M$24,5,FALSE)</f>
        <v>1077.0833333333335</v>
      </c>
      <c r="N113">
        <f>VLOOKUP(CONCATENATE($G113,"-",$F113,"-",$N$2),'Look-ups'!$O$3:$S$34,5,FALSE)*VLOOKUP(CONCATENATE($F113,"-",$N$2,"-",N$3),'Look-ups'!$I$3:$M$24,5,FALSE)</f>
        <v>366.08000000000004</v>
      </c>
      <c r="O113">
        <f>VLOOKUP(CONCATENATE($G113,"-",$F113,"-",$N$2),'Look-ups'!$O$3:$S$34,5,FALSE)*VLOOKUP(CONCATENATE($F113,"-",$N$2,"-",O$3),'Look-ups'!$I$3:$M$24,5,FALSE)</f>
        <v>492.8</v>
      </c>
      <c r="P113">
        <f>VLOOKUP(CONCATENATE($G113,"-",$F113,"-",$N$2),'Look-ups'!$O$3:$S$34,5,FALSE)*VLOOKUP(CONCATENATE($F113,"-",$N$2,"-",P$3),'Look-ups'!$I$3:$M$24,5,FALSE)</f>
        <v>528</v>
      </c>
      <c r="Q113">
        <f>VLOOKUP(CONCATENATE($G113,"-",$F113,"-",$N$2),'Look-ups'!$O$3:$S$34,5,FALSE)*VLOOKUP(CONCATENATE($F113,"-",$N$2,"-",Q$3),'Look-ups'!$I$3:$M$24,5,FALSE)</f>
        <v>689.92</v>
      </c>
      <c r="R113">
        <f>VLOOKUP(CONCATENATE($G113,"-",$F113,"-",$N$2),'Look-ups'!$O$3:$S$34,5,FALSE)*VLOOKUP(CONCATENATE($F113,"-",$N$2,"-",R$3),'Look-ups'!$I$3:$M$24,5,FALSE)</f>
        <v>774.4</v>
      </c>
      <c r="S113" s="117">
        <f>VLOOKUP(CONCATENATE($G113,"-",$F113,"-Lone Person"),'Look-ups'!$Y$4:$AG$35,5,FALSE)</f>
        <v>91.16000000000001</v>
      </c>
      <c r="T113">
        <f>VLOOKUP(CONCATENATE($G113,"-",$F113,"-Lone Person"),'Look-ups'!$Y$4:$AG$35,6,FALSE)</f>
        <v>130.38</v>
      </c>
      <c r="U113">
        <f>VLOOKUP(CONCATENATE($G113,"-",$F113,"-Lone Person"),'Look-ups'!$Y$4:$AG$35,7,FALSE)</f>
        <v>155.82000000000002</v>
      </c>
      <c r="V113">
        <f>VLOOKUP(CONCATENATE($G113,"-",$F113,"-Lone Person"),'Look-ups'!$Y$4:$AG$35,8,FALSE)</f>
        <v>190.8</v>
      </c>
      <c r="W113">
        <f>VLOOKUP(CONCATENATE($G113,"-",$F113,"-Lone Person"),'Look-ups'!$Y$4:$AG$35,9,FALSE)</f>
        <v>181.26000000000002</v>
      </c>
      <c r="X113" s="117">
        <f>VLOOKUP(CONCATENATE($G113,"-",$F113,"-Couple Only"),'Look-ups'!$Y$4:$AG$35,5,FALSE)</f>
        <v>147.34</v>
      </c>
      <c r="Y113">
        <f>VLOOKUP(CONCATENATE($G113,"-",$F113,"-Couple Only"),'Look-ups'!$Y$4:$AG$35,6,FALSE)</f>
        <v>138.86</v>
      </c>
      <c r="Z113">
        <f>VLOOKUP(CONCATENATE($G113,"-",$F113,"-Couple Only"),'Look-ups'!$Y$4:$AG$35,7,FALSE)</f>
        <v>156.88</v>
      </c>
      <c r="AA113">
        <f>VLOOKUP(CONCATENATE($G113,"-",$F113,"-Couple Only"),'Look-ups'!$Y$4:$AG$35,8,FALSE)</f>
        <v>173.84</v>
      </c>
      <c r="AB113">
        <f>VLOOKUP(CONCATENATE($G113,"-",$F113,"-Couple Only"),'Look-ups'!$Y$4:$AG$35,9,FALSE)</f>
        <v>218.36</v>
      </c>
      <c r="AC113">
        <v>24</v>
      </c>
      <c r="AD113" t="s">
        <v>163</v>
      </c>
      <c r="AE113" s="260">
        <f>VLOOKUP($AD113,'Look-ups'!$A$122:$G$130,5,FALSE)</f>
        <v>0.09143686502177067</v>
      </c>
      <c r="AF113" s="260">
        <f>VLOOKUP($AD113,'Look-ups'!$A$122:$G$130,6,FALSE)</f>
        <v>0.2815674891146589</v>
      </c>
      <c r="AG113" s="260">
        <f>VLOOKUP($AD113,'Look-ups'!$A$122:$G$130,7,FALSE)</f>
        <v>0.6269956458635704</v>
      </c>
      <c r="AH113" s="264">
        <f>VLOOKUP($AC113,'Look-ups'!$A$50:$AO$118,'Look-ups'!$B$133*4,FALSE)*0.277778</f>
        <v>103.01123319633932</v>
      </c>
      <c r="AI113" s="264">
        <f>VLOOKUP($AC113,'Look-ups'!$A$50:$AO$118,'Look-ups'!$B$133*4+1,FALSE)*0.277778</f>
        <v>16.98886280366069</v>
      </c>
      <c r="AJ113" s="264">
        <f>AE113*$AH113/'Look-ups'!$B$141</f>
        <v>12.312449967973622</v>
      </c>
      <c r="AK113" s="264">
        <f>AF113*$AH113/'Look-ups'!$B$140</f>
        <v>39.732348331092965</v>
      </c>
      <c r="AL113" s="264">
        <f>AG113*$AH113/'Look-ups'!$B$137</f>
        <v>12.302398988407928</v>
      </c>
      <c r="AM113" s="264">
        <f>AI113/'Look-ups'!$B$136</f>
        <v>3.576602695507514</v>
      </c>
      <c r="AN113" s="263">
        <f>AJ113*VLOOKUP($AD113,'Look-ups'!$A$123:$M$130,10,FALSE)</f>
        <v>3.341462116308396</v>
      </c>
      <c r="AO113" s="263">
        <f>AK113*VLOOKUP($AD113,'Look-ups'!$A$123:$M$130,9,FALSE)</f>
        <v>6.179174812451578</v>
      </c>
      <c r="AP113" s="263">
        <f>(AL113+AM113)*VLOOKUP($AD113,'Look-ups'!$A$123:$M$130,8,FALSE)</f>
        <v>4.736202837958596</v>
      </c>
      <c r="AQ113" s="263">
        <f t="shared" si="2"/>
        <v>14.25683976671857</v>
      </c>
      <c r="AR113" s="265">
        <f>AJ113*VLOOKUP($AD113,'Look-ups'!$A$123:$M$130,11,FALSE)</f>
        <v>0.05319127321729613</v>
      </c>
      <c r="AS113" s="265">
        <f>AK113*VLOOKUP($AD113,'Look-ups'!$A$123:$M$130,12,FALSE)</f>
        <v>7.370874858700438</v>
      </c>
      <c r="AT113" s="265">
        <f>(AL113+AM113)*VLOOKUP($AD113,'Look-ups'!$A$123:$M$130,13,FALSE)</f>
        <v>4.087255033439835</v>
      </c>
      <c r="AU113" s="265">
        <f t="shared" si="3"/>
        <v>11.511321165357568</v>
      </c>
    </row>
    <row r="114" spans="1:47" ht="15">
      <c r="A114">
        <v>9000</v>
      </c>
      <c r="B114" t="s">
        <v>399</v>
      </c>
      <c r="C114">
        <v>255.741999999999</v>
      </c>
      <c r="D114">
        <v>4788</v>
      </c>
      <c r="E114">
        <v>18.72199325883124</v>
      </c>
      <c r="AC114">
        <v>57</v>
      </c>
      <c r="AE114" s="260"/>
      <c r="AF114" s="260"/>
      <c r="AG114" s="260"/>
      <c r="AH114" s="264"/>
      <c r="AI114" s="264"/>
      <c r="AJ114" s="264"/>
      <c r="AK114" s="264"/>
      <c r="AL114" s="264"/>
      <c r="AM114" s="264"/>
      <c r="AN114" s="263"/>
      <c r="AO114" s="263"/>
      <c r="AP114" s="263"/>
      <c r="AQ114" s="263"/>
      <c r="AR114" s="265"/>
      <c r="AS114" s="265"/>
      <c r="AT114" s="265"/>
      <c r="AU114" s="265"/>
    </row>
    <row r="115" spans="3:47" ht="15">
      <c r="C115">
        <v>2</v>
      </c>
      <c r="D115">
        <v>3</v>
      </c>
      <c r="E115">
        <v>4</v>
      </c>
      <c r="F115">
        <v>5</v>
      </c>
      <c r="G115">
        <v>6</v>
      </c>
      <c r="H115">
        <v>7</v>
      </c>
      <c r="I115">
        <v>8</v>
      </c>
      <c r="AE115" s="260"/>
      <c r="AF115" s="260"/>
      <c r="AG115" s="260"/>
      <c r="AH115" s="264"/>
      <c r="AI115" s="264"/>
      <c r="AJ115" s="264"/>
      <c r="AK115" s="264"/>
      <c r="AL115" s="264"/>
      <c r="AM115" s="264"/>
      <c r="AN115" s="263"/>
      <c r="AO115" s="263"/>
      <c r="AP115" s="263"/>
      <c r="AQ115" s="263"/>
      <c r="AR115" s="265"/>
      <c r="AS115" s="265"/>
      <c r="AT115" s="265"/>
      <c r="AU115" s="265"/>
    </row>
    <row r="116" spans="3:19" ht="15">
      <c r="C116" s="203" t="s">
        <v>227</v>
      </c>
      <c r="D116" s="203"/>
      <c r="E116" s="2" t="s">
        <v>544</v>
      </c>
      <c r="F116" s="2"/>
      <c r="G116" s="2"/>
      <c r="H116" s="2"/>
      <c r="I116" s="2"/>
      <c r="M116" s="203" t="s">
        <v>227</v>
      </c>
      <c r="N116" s="203"/>
      <c r="O116" s="2" t="s">
        <v>544</v>
      </c>
      <c r="P116" s="2"/>
      <c r="Q116" s="2"/>
      <c r="R116" s="2"/>
      <c r="S116" s="2"/>
    </row>
    <row r="117" spans="2:19" ht="15">
      <c r="B117" t="s">
        <v>540</v>
      </c>
      <c r="C117" s="203" t="s">
        <v>542</v>
      </c>
      <c r="D117" s="203" t="s">
        <v>543</v>
      </c>
      <c r="E117" s="2" t="s">
        <v>541</v>
      </c>
      <c r="F117" s="2" t="s">
        <v>275</v>
      </c>
      <c r="G117" s="2" t="s">
        <v>542</v>
      </c>
      <c r="H117" s="2" t="s">
        <v>545</v>
      </c>
      <c r="I117" s="2" t="s">
        <v>543</v>
      </c>
      <c r="M117" s="203" t="s">
        <v>542</v>
      </c>
      <c r="N117" s="203" t="s">
        <v>543</v>
      </c>
      <c r="O117" s="2" t="s">
        <v>541</v>
      </c>
      <c r="P117" s="2" t="s">
        <v>275</v>
      </c>
      <c r="Q117" s="2" t="s">
        <v>542</v>
      </c>
      <c r="R117" s="2" t="s">
        <v>545</v>
      </c>
      <c r="S117" s="2" t="s">
        <v>543</v>
      </c>
    </row>
    <row r="118" spans="1:19" ht="15">
      <c r="A118">
        <v>1000</v>
      </c>
      <c r="B118" t="s">
        <v>301</v>
      </c>
      <c r="C118" s="203">
        <f>VLOOKUP($J118,$L$118:$S$120,C$115,FALSE)</f>
        <v>58.74</v>
      </c>
      <c r="D118" s="203">
        <f aca="true" t="shared" si="6" ref="D118:I133">VLOOKUP($J118,$L$118:$S$120,D$115,FALSE)</f>
        <v>0</v>
      </c>
      <c r="E118" s="2">
        <f t="shared" si="6"/>
        <v>56.08</v>
      </c>
      <c r="F118" s="2">
        <f t="shared" si="6"/>
        <v>32.33</v>
      </c>
      <c r="G118" s="2">
        <f t="shared" si="6"/>
        <v>0</v>
      </c>
      <c r="H118" s="2">
        <f t="shared" si="6"/>
        <v>0</v>
      </c>
      <c r="I118" s="2">
        <f t="shared" si="6"/>
        <v>14.74</v>
      </c>
      <c r="J118">
        <v>0</v>
      </c>
      <c r="K118" t="s">
        <v>591</v>
      </c>
      <c r="L118">
        <v>0</v>
      </c>
      <c r="M118" s="203">
        <v>58.74</v>
      </c>
      <c r="N118" s="203">
        <v>0</v>
      </c>
      <c r="O118" s="2">
        <v>56.08</v>
      </c>
      <c r="P118" s="2">
        <v>32.33</v>
      </c>
      <c r="Q118" s="2">
        <v>0</v>
      </c>
      <c r="R118" s="2">
        <v>0</v>
      </c>
      <c r="S118" s="2">
        <v>14.74</v>
      </c>
    </row>
    <row r="119" spans="1:19" ht="15">
      <c r="A119">
        <v>1001</v>
      </c>
      <c r="B119" t="s">
        <v>302</v>
      </c>
      <c r="C119" s="203">
        <f aca="true" t="shared" si="7" ref="C119:I150">VLOOKUP($J119,$L$118:$S$120,C$115,FALSE)</f>
        <v>54.5</v>
      </c>
      <c r="D119" s="203">
        <f t="shared" si="6"/>
        <v>0</v>
      </c>
      <c r="E119" s="2">
        <f t="shared" si="6"/>
        <v>51.68</v>
      </c>
      <c r="F119" s="2">
        <f t="shared" si="6"/>
        <v>23.7</v>
      </c>
      <c r="G119" s="2">
        <f t="shared" si="6"/>
        <v>14.85</v>
      </c>
      <c r="H119" s="2">
        <f t="shared" si="6"/>
        <v>0</v>
      </c>
      <c r="I119" s="2">
        <f t="shared" si="6"/>
        <v>20.55</v>
      </c>
      <c r="J119">
        <v>1</v>
      </c>
      <c r="K119" t="s">
        <v>173</v>
      </c>
      <c r="L119">
        <v>1</v>
      </c>
      <c r="M119" s="203">
        <v>54.5</v>
      </c>
      <c r="N119" s="203">
        <v>0</v>
      </c>
      <c r="O119" s="2">
        <v>51.68</v>
      </c>
      <c r="P119" s="2">
        <v>23.7</v>
      </c>
      <c r="Q119" s="2">
        <v>14.85</v>
      </c>
      <c r="R119" s="2">
        <v>0</v>
      </c>
      <c r="S119" s="2">
        <v>20.55</v>
      </c>
    </row>
    <row r="120" spans="1:19" ht="15">
      <c r="A120">
        <v>1002</v>
      </c>
      <c r="B120" t="s">
        <v>303</v>
      </c>
      <c r="C120" s="203">
        <f t="shared" si="7"/>
        <v>54.5</v>
      </c>
      <c r="D120" s="203">
        <f t="shared" si="6"/>
        <v>0</v>
      </c>
      <c r="E120" s="2">
        <f t="shared" si="6"/>
        <v>51.68</v>
      </c>
      <c r="F120" s="2">
        <f t="shared" si="6"/>
        <v>23.7</v>
      </c>
      <c r="G120" s="2">
        <f t="shared" si="6"/>
        <v>14.85</v>
      </c>
      <c r="H120" s="2">
        <f t="shared" si="6"/>
        <v>0</v>
      </c>
      <c r="I120" s="2">
        <f t="shared" si="6"/>
        <v>20.55</v>
      </c>
      <c r="J120">
        <v>1</v>
      </c>
      <c r="K120" t="s">
        <v>172</v>
      </c>
      <c r="L120">
        <v>2</v>
      </c>
      <c r="M120">
        <v>50.1</v>
      </c>
      <c r="N120">
        <v>38.04</v>
      </c>
      <c r="O120">
        <v>36.96</v>
      </c>
      <c r="P120">
        <v>21.15</v>
      </c>
      <c r="Q120">
        <v>13.79</v>
      </c>
      <c r="R120">
        <v>12.13</v>
      </c>
      <c r="S120" s="117">
        <v>38.94</v>
      </c>
    </row>
    <row r="121" spans="1:10" ht="15">
      <c r="A121">
        <v>1003</v>
      </c>
      <c r="B121" t="s">
        <v>304</v>
      </c>
      <c r="C121" s="203">
        <f t="shared" si="7"/>
        <v>54.5</v>
      </c>
      <c r="D121" s="203">
        <f t="shared" si="6"/>
        <v>0</v>
      </c>
      <c r="E121" s="2">
        <f t="shared" si="6"/>
        <v>51.68</v>
      </c>
      <c r="F121" s="2">
        <f t="shared" si="6"/>
        <v>23.7</v>
      </c>
      <c r="G121" s="2">
        <f t="shared" si="6"/>
        <v>14.85</v>
      </c>
      <c r="H121" s="2">
        <f t="shared" si="6"/>
        <v>0</v>
      </c>
      <c r="I121" s="2">
        <f t="shared" si="6"/>
        <v>20.55</v>
      </c>
      <c r="J121">
        <v>1</v>
      </c>
    </row>
    <row r="122" spans="1:10" ht="15">
      <c r="A122">
        <v>1004</v>
      </c>
      <c r="B122" t="s">
        <v>305</v>
      </c>
      <c r="C122" s="203">
        <f t="shared" si="7"/>
        <v>54.5</v>
      </c>
      <c r="D122" s="203">
        <f t="shared" si="6"/>
        <v>0</v>
      </c>
      <c r="E122" s="2">
        <f t="shared" si="6"/>
        <v>51.68</v>
      </c>
      <c r="F122" s="2">
        <f t="shared" si="6"/>
        <v>23.7</v>
      </c>
      <c r="G122" s="2">
        <f t="shared" si="6"/>
        <v>14.85</v>
      </c>
      <c r="H122" s="2">
        <f t="shared" si="6"/>
        <v>0</v>
      </c>
      <c r="I122" s="2">
        <f t="shared" si="6"/>
        <v>20.55</v>
      </c>
      <c r="J122">
        <v>1</v>
      </c>
    </row>
    <row r="123" spans="1:10" ht="15">
      <c r="A123">
        <v>1005</v>
      </c>
      <c r="B123" t="s">
        <v>306</v>
      </c>
      <c r="C123" s="203">
        <f t="shared" si="7"/>
        <v>54.5</v>
      </c>
      <c r="D123" s="203">
        <f t="shared" si="6"/>
        <v>0</v>
      </c>
      <c r="E123" s="2">
        <f t="shared" si="6"/>
        <v>51.68</v>
      </c>
      <c r="F123" s="2">
        <f t="shared" si="6"/>
        <v>23.7</v>
      </c>
      <c r="G123" s="2">
        <f t="shared" si="6"/>
        <v>14.85</v>
      </c>
      <c r="H123" s="2">
        <f t="shared" si="6"/>
        <v>0</v>
      </c>
      <c r="I123" s="2">
        <f t="shared" si="6"/>
        <v>20.55</v>
      </c>
      <c r="J123">
        <v>1</v>
      </c>
    </row>
    <row r="124" spans="1:10" ht="15">
      <c r="A124">
        <v>1006</v>
      </c>
      <c r="B124" t="s">
        <v>307</v>
      </c>
      <c r="C124" s="203">
        <f t="shared" si="7"/>
        <v>54.5</v>
      </c>
      <c r="D124" s="203">
        <f t="shared" si="6"/>
        <v>0</v>
      </c>
      <c r="E124" s="2">
        <f t="shared" si="6"/>
        <v>51.68</v>
      </c>
      <c r="F124" s="2">
        <f t="shared" si="6"/>
        <v>23.7</v>
      </c>
      <c r="G124" s="2">
        <f t="shared" si="6"/>
        <v>14.85</v>
      </c>
      <c r="H124" s="2">
        <f t="shared" si="6"/>
        <v>0</v>
      </c>
      <c r="I124" s="2">
        <f t="shared" si="6"/>
        <v>20.55</v>
      </c>
      <c r="J124">
        <v>1</v>
      </c>
    </row>
    <row r="125" spans="1:10" ht="15">
      <c r="A125">
        <v>1007</v>
      </c>
      <c r="B125" t="s">
        <v>308</v>
      </c>
      <c r="C125" s="203">
        <f t="shared" si="7"/>
        <v>54.5</v>
      </c>
      <c r="D125" s="203">
        <f t="shared" si="6"/>
        <v>0</v>
      </c>
      <c r="E125" s="2">
        <f t="shared" si="6"/>
        <v>51.68</v>
      </c>
      <c r="F125" s="2">
        <f t="shared" si="6"/>
        <v>23.7</v>
      </c>
      <c r="G125" s="2">
        <f t="shared" si="6"/>
        <v>14.85</v>
      </c>
      <c r="H125" s="2">
        <f t="shared" si="6"/>
        <v>0</v>
      </c>
      <c r="I125" s="2">
        <f t="shared" si="6"/>
        <v>20.55</v>
      </c>
      <c r="J125">
        <v>1</v>
      </c>
    </row>
    <row r="126" spans="1:10" ht="15">
      <c r="A126">
        <v>1008</v>
      </c>
      <c r="B126" t="s">
        <v>583</v>
      </c>
      <c r="C126" s="203">
        <f t="shared" si="7"/>
        <v>54.5</v>
      </c>
      <c r="D126" s="203">
        <f t="shared" si="6"/>
        <v>0</v>
      </c>
      <c r="E126" s="2">
        <f t="shared" si="6"/>
        <v>51.68</v>
      </c>
      <c r="F126" s="2">
        <f t="shared" si="6"/>
        <v>23.7</v>
      </c>
      <c r="G126" s="2">
        <f t="shared" si="6"/>
        <v>14.85</v>
      </c>
      <c r="H126" s="2">
        <f t="shared" si="6"/>
        <v>0</v>
      </c>
      <c r="I126" s="2">
        <f t="shared" si="6"/>
        <v>20.55</v>
      </c>
      <c r="J126">
        <v>1</v>
      </c>
    </row>
    <row r="127" spans="1:10" ht="15">
      <c r="A127">
        <v>1009</v>
      </c>
      <c r="B127" t="s">
        <v>309</v>
      </c>
      <c r="C127" s="203">
        <f t="shared" si="7"/>
        <v>54.5</v>
      </c>
      <c r="D127" s="203">
        <f t="shared" si="6"/>
        <v>0</v>
      </c>
      <c r="E127" s="2">
        <f t="shared" si="6"/>
        <v>51.68</v>
      </c>
      <c r="F127" s="2">
        <f t="shared" si="6"/>
        <v>23.7</v>
      </c>
      <c r="G127" s="2">
        <f t="shared" si="6"/>
        <v>14.85</v>
      </c>
      <c r="H127" s="2">
        <f t="shared" si="6"/>
        <v>0</v>
      </c>
      <c r="I127" s="2">
        <f t="shared" si="6"/>
        <v>20.55</v>
      </c>
      <c r="J127">
        <v>1</v>
      </c>
    </row>
    <row r="128" spans="1:10" ht="15">
      <c r="A128">
        <v>1010</v>
      </c>
      <c r="B128" t="s">
        <v>310</v>
      </c>
      <c r="C128" s="203">
        <f t="shared" si="7"/>
        <v>54.5</v>
      </c>
      <c r="D128" s="203">
        <f t="shared" si="6"/>
        <v>0</v>
      </c>
      <c r="E128" s="2">
        <f t="shared" si="6"/>
        <v>51.68</v>
      </c>
      <c r="F128" s="2">
        <f t="shared" si="6"/>
        <v>23.7</v>
      </c>
      <c r="G128" s="2">
        <f t="shared" si="6"/>
        <v>14.85</v>
      </c>
      <c r="H128" s="2">
        <f t="shared" si="6"/>
        <v>0</v>
      </c>
      <c r="I128" s="2">
        <f t="shared" si="6"/>
        <v>20.55</v>
      </c>
      <c r="J128">
        <v>1</v>
      </c>
    </row>
    <row r="129" spans="1:10" ht="15">
      <c r="A129">
        <v>1011</v>
      </c>
      <c r="B129" t="s">
        <v>311</v>
      </c>
      <c r="C129" s="203">
        <f t="shared" si="7"/>
        <v>54.5</v>
      </c>
      <c r="D129" s="203">
        <f t="shared" si="6"/>
        <v>0</v>
      </c>
      <c r="E129" s="2">
        <f t="shared" si="6"/>
        <v>51.68</v>
      </c>
      <c r="F129" s="2">
        <f t="shared" si="6"/>
        <v>23.7</v>
      </c>
      <c r="G129" s="2">
        <f t="shared" si="6"/>
        <v>14.85</v>
      </c>
      <c r="H129" s="2">
        <f t="shared" si="6"/>
        <v>0</v>
      </c>
      <c r="I129" s="2">
        <f t="shared" si="6"/>
        <v>20.55</v>
      </c>
      <c r="J129">
        <v>1</v>
      </c>
    </row>
    <row r="130" spans="1:10" ht="15">
      <c r="A130">
        <v>1012</v>
      </c>
      <c r="B130" t="s">
        <v>312</v>
      </c>
      <c r="C130" s="203">
        <f t="shared" si="7"/>
        <v>54.5</v>
      </c>
      <c r="D130" s="203">
        <f t="shared" si="6"/>
        <v>0</v>
      </c>
      <c r="E130" s="2">
        <f t="shared" si="6"/>
        <v>51.68</v>
      </c>
      <c r="F130" s="2">
        <f t="shared" si="6"/>
        <v>23.7</v>
      </c>
      <c r="G130" s="2">
        <f t="shared" si="6"/>
        <v>14.85</v>
      </c>
      <c r="H130" s="2">
        <f t="shared" si="6"/>
        <v>0</v>
      </c>
      <c r="I130" s="2">
        <f t="shared" si="6"/>
        <v>20.55</v>
      </c>
      <c r="J130">
        <v>1</v>
      </c>
    </row>
    <row r="131" spans="1:10" ht="15">
      <c r="A131">
        <v>1013</v>
      </c>
      <c r="B131" t="s">
        <v>313</v>
      </c>
      <c r="C131" s="203">
        <f t="shared" si="7"/>
        <v>54.5</v>
      </c>
      <c r="D131" s="203">
        <f t="shared" si="6"/>
        <v>0</v>
      </c>
      <c r="E131" s="2">
        <f t="shared" si="6"/>
        <v>51.68</v>
      </c>
      <c r="F131" s="2">
        <f t="shared" si="6"/>
        <v>23.7</v>
      </c>
      <c r="G131" s="2">
        <f t="shared" si="6"/>
        <v>14.85</v>
      </c>
      <c r="H131" s="2">
        <f t="shared" si="6"/>
        <v>0</v>
      </c>
      <c r="I131" s="2">
        <f t="shared" si="6"/>
        <v>20.55</v>
      </c>
      <c r="J131">
        <v>1</v>
      </c>
    </row>
    <row r="132" spans="1:10" ht="15">
      <c r="A132">
        <v>1014</v>
      </c>
      <c r="B132" t="s">
        <v>314</v>
      </c>
      <c r="C132" s="203">
        <f t="shared" si="7"/>
        <v>54.5</v>
      </c>
      <c r="D132" s="203">
        <f t="shared" si="6"/>
        <v>0</v>
      </c>
      <c r="E132" s="2">
        <f t="shared" si="6"/>
        <v>51.68</v>
      </c>
      <c r="F132" s="2">
        <f t="shared" si="6"/>
        <v>23.7</v>
      </c>
      <c r="G132" s="2">
        <f t="shared" si="6"/>
        <v>14.85</v>
      </c>
      <c r="H132" s="2">
        <f t="shared" si="6"/>
        <v>0</v>
      </c>
      <c r="I132" s="2">
        <f t="shared" si="6"/>
        <v>20.55</v>
      </c>
      <c r="J132">
        <v>1</v>
      </c>
    </row>
    <row r="133" spans="1:10" ht="15">
      <c r="A133">
        <v>1015</v>
      </c>
      <c r="B133" t="s">
        <v>315</v>
      </c>
      <c r="C133" s="203">
        <f t="shared" si="7"/>
        <v>54.5</v>
      </c>
      <c r="D133" s="203">
        <f t="shared" si="6"/>
        <v>0</v>
      </c>
      <c r="E133" s="2">
        <f t="shared" si="6"/>
        <v>51.68</v>
      </c>
      <c r="F133" s="2">
        <f t="shared" si="6"/>
        <v>23.7</v>
      </c>
      <c r="G133" s="2">
        <f t="shared" si="6"/>
        <v>14.85</v>
      </c>
      <c r="H133" s="2">
        <f t="shared" si="6"/>
        <v>0</v>
      </c>
      <c r="I133" s="2">
        <f t="shared" si="6"/>
        <v>20.55</v>
      </c>
      <c r="J133">
        <v>1</v>
      </c>
    </row>
    <row r="134" spans="1:10" ht="15">
      <c r="A134">
        <v>1016</v>
      </c>
      <c r="B134" t="s">
        <v>316</v>
      </c>
      <c r="C134" s="203">
        <f t="shared" si="7"/>
        <v>54.5</v>
      </c>
      <c r="D134" s="203">
        <f t="shared" si="7"/>
        <v>0</v>
      </c>
      <c r="E134" s="2">
        <f t="shared" si="7"/>
        <v>51.68</v>
      </c>
      <c r="F134" s="2">
        <f t="shared" si="7"/>
        <v>23.7</v>
      </c>
      <c r="G134" s="2">
        <f t="shared" si="7"/>
        <v>14.85</v>
      </c>
      <c r="H134" s="2">
        <f t="shared" si="7"/>
        <v>0</v>
      </c>
      <c r="I134" s="2">
        <f t="shared" si="7"/>
        <v>20.55</v>
      </c>
      <c r="J134">
        <v>1</v>
      </c>
    </row>
    <row r="135" spans="1:10" ht="15">
      <c r="A135">
        <v>1017</v>
      </c>
      <c r="B135" t="s">
        <v>317</v>
      </c>
      <c r="C135" s="203">
        <f t="shared" si="7"/>
        <v>54.5</v>
      </c>
      <c r="D135" s="203">
        <f t="shared" si="7"/>
        <v>0</v>
      </c>
      <c r="E135" s="2">
        <f t="shared" si="7"/>
        <v>51.68</v>
      </c>
      <c r="F135" s="2">
        <f t="shared" si="7"/>
        <v>23.7</v>
      </c>
      <c r="G135" s="2">
        <f t="shared" si="7"/>
        <v>14.85</v>
      </c>
      <c r="H135" s="2">
        <f t="shared" si="7"/>
        <v>0</v>
      </c>
      <c r="I135" s="2">
        <f t="shared" si="7"/>
        <v>20.55</v>
      </c>
      <c r="J135">
        <v>1</v>
      </c>
    </row>
    <row r="136" spans="1:10" ht="15">
      <c r="A136">
        <v>1018</v>
      </c>
      <c r="B136" t="s">
        <v>318</v>
      </c>
      <c r="C136" s="203">
        <f t="shared" si="7"/>
        <v>54.5</v>
      </c>
      <c r="D136" s="203">
        <f t="shared" si="7"/>
        <v>0</v>
      </c>
      <c r="E136" s="2">
        <f t="shared" si="7"/>
        <v>51.68</v>
      </c>
      <c r="F136" s="2">
        <f t="shared" si="7"/>
        <v>23.7</v>
      </c>
      <c r="G136" s="2">
        <f t="shared" si="7"/>
        <v>14.85</v>
      </c>
      <c r="H136" s="2">
        <f t="shared" si="7"/>
        <v>0</v>
      </c>
      <c r="I136" s="2">
        <f t="shared" si="7"/>
        <v>20.55</v>
      </c>
      <c r="J136">
        <v>1</v>
      </c>
    </row>
    <row r="137" spans="1:10" ht="15">
      <c r="A137">
        <v>1019</v>
      </c>
      <c r="B137" t="s">
        <v>319</v>
      </c>
      <c r="C137" s="203">
        <f t="shared" si="7"/>
        <v>54.5</v>
      </c>
      <c r="D137" s="203">
        <f t="shared" si="7"/>
        <v>0</v>
      </c>
      <c r="E137" s="2">
        <f t="shared" si="7"/>
        <v>51.68</v>
      </c>
      <c r="F137" s="2">
        <f t="shared" si="7"/>
        <v>23.7</v>
      </c>
      <c r="G137" s="2">
        <f t="shared" si="7"/>
        <v>14.85</v>
      </c>
      <c r="H137" s="2">
        <f t="shared" si="7"/>
        <v>0</v>
      </c>
      <c r="I137" s="2">
        <f t="shared" si="7"/>
        <v>20.55</v>
      </c>
      <c r="J137">
        <v>1</v>
      </c>
    </row>
    <row r="138" spans="1:10" ht="15">
      <c r="A138">
        <v>1020</v>
      </c>
      <c r="B138" t="s">
        <v>584</v>
      </c>
      <c r="C138" s="203">
        <f t="shared" si="7"/>
        <v>54.5</v>
      </c>
      <c r="D138" s="203">
        <f t="shared" si="7"/>
        <v>0</v>
      </c>
      <c r="E138" s="2">
        <f t="shared" si="7"/>
        <v>51.68</v>
      </c>
      <c r="F138" s="2">
        <f t="shared" si="7"/>
        <v>23.7</v>
      </c>
      <c r="G138" s="2">
        <f t="shared" si="7"/>
        <v>14.85</v>
      </c>
      <c r="H138" s="2">
        <f t="shared" si="7"/>
        <v>0</v>
      </c>
      <c r="I138" s="2">
        <f t="shared" si="7"/>
        <v>20.55</v>
      </c>
      <c r="J138">
        <v>1</v>
      </c>
    </row>
    <row r="139" spans="1:10" ht="15">
      <c r="A139">
        <v>1021</v>
      </c>
      <c r="B139" t="s">
        <v>320</v>
      </c>
      <c r="C139" s="203">
        <f t="shared" si="7"/>
        <v>54.5</v>
      </c>
      <c r="D139" s="203">
        <f t="shared" si="7"/>
        <v>0</v>
      </c>
      <c r="E139" s="2">
        <f t="shared" si="7"/>
        <v>51.68</v>
      </c>
      <c r="F139" s="2">
        <f t="shared" si="7"/>
        <v>23.7</v>
      </c>
      <c r="G139" s="2">
        <f t="shared" si="7"/>
        <v>14.85</v>
      </c>
      <c r="H139" s="2">
        <f t="shared" si="7"/>
        <v>0</v>
      </c>
      <c r="I139" s="2">
        <f t="shared" si="7"/>
        <v>20.55</v>
      </c>
      <c r="J139">
        <v>1</v>
      </c>
    </row>
    <row r="140" spans="1:10" ht="15">
      <c r="A140">
        <v>1022</v>
      </c>
      <c r="B140" t="s">
        <v>321</v>
      </c>
      <c r="C140" s="203">
        <f t="shared" si="7"/>
        <v>54.5</v>
      </c>
      <c r="D140" s="203">
        <f t="shared" si="7"/>
        <v>0</v>
      </c>
      <c r="E140" s="2">
        <f t="shared" si="7"/>
        <v>51.68</v>
      </c>
      <c r="F140" s="2">
        <f t="shared" si="7"/>
        <v>23.7</v>
      </c>
      <c r="G140" s="2">
        <f t="shared" si="7"/>
        <v>14.85</v>
      </c>
      <c r="H140" s="2">
        <f t="shared" si="7"/>
        <v>0</v>
      </c>
      <c r="I140" s="2">
        <f t="shared" si="7"/>
        <v>20.55</v>
      </c>
      <c r="J140">
        <v>1</v>
      </c>
    </row>
    <row r="141" spans="1:10" ht="15">
      <c r="A141">
        <v>1023</v>
      </c>
      <c r="B141" t="s">
        <v>322</v>
      </c>
      <c r="C141" s="203">
        <f t="shared" si="7"/>
        <v>54.5</v>
      </c>
      <c r="D141" s="203">
        <f t="shared" si="7"/>
        <v>0</v>
      </c>
      <c r="E141" s="2">
        <f t="shared" si="7"/>
        <v>51.68</v>
      </c>
      <c r="F141" s="2">
        <f t="shared" si="7"/>
        <v>23.7</v>
      </c>
      <c r="G141" s="2">
        <f t="shared" si="7"/>
        <v>14.85</v>
      </c>
      <c r="H141" s="2">
        <f t="shared" si="7"/>
        <v>0</v>
      </c>
      <c r="I141" s="2">
        <f t="shared" si="7"/>
        <v>20.55</v>
      </c>
      <c r="J141">
        <v>1</v>
      </c>
    </row>
    <row r="142" spans="1:10" ht="15">
      <c r="A142">
        <v>1024</v>
      </c>
      <c r="B142" t="s">
        <v>323</v>
      </c>
      <c r="C142" s="203">
        <f t="shared" si="7"/>
        <v>54.5</v>
      </c>
      <c r="D142" s="203">
        <f t="shared" si="7"/>
        <v>0</v>
      </c>
      <c r="E142" s="2">
        <f t="shared" si="7"/>
        <v>51.68</v>
      </c>
      <c r="F142" s="2">
        <f t="shared" si="7"/>
        <v>23.7</v>
      </c>
      <c r="G142" s="2">
        <f t="shared" si="7"/>
        <v>14.85</v>
      </c>
      <c r="H142" s="2">
        <f t="shared" si="7"/>
        <v>0</v>
      </c>
      <c r="I142" s="2">
        <f t="shared" si="7"/>
        <v>20.55</v>
      </c>
      <c r="J142">
        <v>1</v>
      </c>
    </row>
    <row r="143" spans="1:10" ht="15">
      <c r="A143">
        <v>1025</v>
      </c>
      <c r="B143" t="s">
        <v>324</v>
      </c>
      <c r="C143" s="203">
        <f t="shared" si="7"/>
        <v>54.5</v>
      </c>
      <c r="D143" s="203">
        <f t="shared" si="7"/>
        <v>0</v>
      </c>
      <c r="E143" s="2">
        <f t="shared" si="7"/>
        <v>51.68</v>
      </c>
      <c r="F143" s="2">
        <f t="shared" si="7"/>
        <v>23.7</v>
      </c>
      <c r="G143" s="2">
        <f t="shared" si="7"/>
        <v>14.85</v>
      </c>
      <c r="H143" s="2">
        <f t="shared" si="7"/>
        <v>0</v>
      </c>
      <c r="I143" s="2">
        <f t="shared" si="7"/>
        <v>20.55</v>
      </c>
      <c r="J143">
        <v>1</v>
      </c>
    </row>
    <row r="144" spans="1:10" ht="15">
      <c r="A144">
        <v>1026</v>
      </c>
      <c r="B144" t="s">
        <v>325</v>
      </c>
      <c r="C144" s="203">
        <f t="shared" si="7"/>
        <v>54.5</v>
      </c>
      <c r="D144" s="203">
        <f t="shared" si="7"/>
        <v>0</v>
      </c>
      <c r="E144" s="2">
        <f t="shared" si="7"/>
        <v>51.68</v>
      </c>
      <c r="F144" s="2">
        <f t="shared" si="7"/>
        <v>23.7</v>
      </c>
      <c r="G144" s="2">
        <f t="shared" si="7"/>
        <v>14.85</v>
      </c>
      <c r="H144" s="2">
        <f t="shared" si="7"/>
        <v>0</v>
      </c>
      <c r="I144" s="2">
        <f t="shared" si="7"/>
        <v>20.55</v>
      </c>
      <c r="J144">
        <v>1</v>
      </c>
    </row>
    <row r="145" spans="1:10" ht="15">
      <c r="A145">
        <v>1027</v>
      </c>
      <c r="B145" t="s">
        <v>326</v>
      </c>
      <c r="C145" s="203">
        <f t="shared" si="7"/>
        <v>54.5</v>
      </c>
      <c r="D145" s="203">
        <f t="shared" si="7"/>
        <v>0</v>
      </c>
      <c r="E145" s="2">
        <f t="shared" si="7"/>
        <v>51.68</v>
      </c>
      <c r="F145" s="2">
        <f t="shared" si="7"/>
        <v>23.7</v>
      </c>
      <c r="G145" s="2">
        <f t="shared" si="7"/>
        <v>14.85</v>
      </c>
      <c r="H145" s="2">
        <f t="shared" si="7"/>
        <v>0</v>
      </c>
      <c r="I145" s="2">
        <f t="shared" si="7"/>
        <v>20.55</v>
      </c>
      <c r="J145">
        <v>1</v>
      </c>
    </row>
    <row r="146" spans="1:10" ht="15">
      <c r="A146">
        <v>1028</v>
      </c>
      <c r="B146" t="s">
        <v>327</v>
      </c>
      <c r="C146" s="203">
        <f t="shared" si="7"/>
        <v>54.5</v>
      </c>
      <c r="D146" s="203">
        <f t="shared" si="7"/>
        <v>0</v>
      </c>
      <c r="E146" s="2">
        <f t="shared" si="7"/>
        <v>51.68</v>
      </c>
      <c r="F146" s="2">
        <f t="shared" si="7"/>
        <v>23.7</v>
      </c>
      <c r="G146" s="2">
        <f t="shared" si="7"/>
        <v>14.85</v>
      </c>
      <c r="H146" s="2">
        <f t="shared" si="7"/>
        <v>0</v>
      </c>
      <c r="I146" s="2">
        <f t="shared" si="7"/>
        <v>20.55</v>
      </c>
      <c r="J146">
        <v>1</v>
      </c>
    </row>
    <row r="147" spans="1:10" ht="15">
      <c r="A147">
        <v>1029</v>
      </c>
      <c r="B147" t="s">
        <v>328</v>
      </c>
      <c r="C147" s="203">
        <f t="shared" si="7"/>
        <v>54.5</v>
      </c>
      <c r="D147" s="203">
        <f t="shared" si="7"/>
        <v>0</v>
      </c>
      <c r="E147" s="2">
        <f t="shared" si="7"/>
        <v>51.68</v>
      </c>
      <c r="F147" s="2">
        <f t="shared" si="7"/>
        <v>23.7</v>
      </c>
      <c r="G147" s="2">
        <f t="shared" si="7"/>
        <v>14.85</v>
      </c>
      <c r="H147" s="2">
        <f t="shared" si="7"/>
        <v>0</v>
      </c>
      <c r="I147" s="2">
        <f t="shared" si="7"/>
        <v>20.55</v>
      </c>
      <c r="J147">
        <v>1</v>
      </c>
    </row>
    <row r="148" spans="1:10" ht="15">
      <c r="A148">
        <v>1030</v>
      </c>
      <c r="B148" t="s">
        <v>329</v>
      </c>
      <c r="C148" s="203">
        <f t="shared" si="7"/>
        <v>54.5</v>
      </c>
      <c r="D148" s="203">
        <f t="shared" si="7"/>
        <v>0</v>
      </c>
      <c r="E148" s="2">
        <f t="shared" si="7"/>
        <v>51.68</v>
      </c>
      <c r="F148" s="2">
        <f t="shared" si="7"/>
        <v>23.7</v>
      </c>
      <c r="G148" s="2">
        <f t="shared" si="7"/>
        <v>14.85</v>
      </c>
      <c r="H148" s="2">
        <f t="shared" si="7"/>
        <v>0</v>
      </c>
      <c r="I148" s="2">
        <f t="shared" si="7"/>
        <v>20.55</v>
      </c>
      <c r="J148">
        <v>1</v>
      </c>
    </row>
    <row r="149" spans="1:10" ht="15">
      <c r="A149">
        <v>1031</v>
      </c>
      <c r="B149" t="s">
        <v>330</v>
      </c>
      <c r="C149" s="203">
        <f t="shared" si="7"/>
        <v>50.1</v>
      </c>
      <c r="D149" s="203">
        <f t="shared" si="7"/>
        <v>38.04</v>
      </c>
      <c r="E149" s="2">
        <f t="shared" si="7"/>
        <v>36.96</v>
      </c>
      <c r="F149" s="2">
        <f t="shared" si="7"/>
        <v>21.15</v>
      </c>
      <c r="G149" s="2">
        <f t="shared" si="7"/>
        <v>13.79</v>
      </c>
      <c r="H149" s="2">
        <f t="shared" si="7"/>
        <v>12.13</v>
      </c>
      <c r="I149" s="2">
        <f t="shared" si="7"/>
        <v>38.94</v>
      </c>
      <c r="J149">
        <v>2</v>
      </c>
    </row>
    <row r="150" spans="1:10" ht="15">
      <c r="A150">
        <v>1032</v>
      </c>
      <c r="B150" t="s">
        <v>331</v>
      </c>
      <c r="C150" s="203">
        <f t="shared" si="7"/>
        <v>54.5</v>
      </c>
      <c r="D150" s="203">
        <f t="shared" si="7"/>
        <v>0</v>
      </c>
      <c r="E150" s="2">
        <f t="shared" si="7"/>
        <v>51.68</v>
      </c>
      <c r="F150" s="2">
        <f t="shared" si="7"/>
        <v>23.7</v>
      </c>
      <c r="G150" s="2">
        <f t="shared" si="7"/>
        <v>14.85</v>
      </c>
      <c r="H150" s="2">
        <f t="shared" si="7"/>
        <v>0</v>
      </c>
      <c r="I150" s="2">
        <f t="shared" si="7"/>
        <v>20.55</v>
      </c>
      <c r="J150">
        <v>1</v>
      </c>
    </row>
    <row r="151" spans="1:10" ht="15">
      <c r="A151">
        <v>1033</v>
      </c>
      <c r="B151" t="s">
        <v>332</v>
      </c>
      <c r="C151" s="203">
        <f aca="true" t="shared" si="8" ref="C151:I182">VLOOKUP($J151,$L$118:$S$120,C$115,FALSE)</f>
        <v>54.5</v>
      </c>
      <c r="D151" s="203">
        <f t="shared" si="8"/>
        <v>0</v>
      </c>
      <c r="E151" s="2">
        <f t="shared" si="8"/>
        <v>51.68</v>
      </c>
      <c r="F151" s="2">
        <f t="shared" si="8"/>
        <v>23.7</v>
      </c>
      <c r="G151" s="2">
        <f t="shared" si="8"/>
        <v>14.85</v>
      </c>
      <c r="H151" s="2">
        <f t="shared" si="8"/>
        <v>0</v>
      </c>
      <c r="I151" s="2">
        <f t="shared" si="8"/>
        <v>20.55</v>
      </c>
      <c r="J151">
        <v>1</v>
      </c>
    </row>
    <row r="152" spans="1:10" ht="15">
      <c r="A152">
        <v>1034</v>
      </c>
      <c r="B152" t="s">
        <v>333</v>
      </c>
      <c r="C152" s="203">
        <f t="shared" si="8"/>
        <v>54.5</v>
      </c>
      <c r="D152" s="203">
        <f t="shared" si="8"/>
        <v>0</v>
      </c>
      <c r="E152" s="2">
        <f t="shared" si="8"/>
        <v>51.68</v>
      </c>
      <c r="F152" s="2">
        <f t="shared" si="8"/>
        <v>23.7</v>
      </c>
      <c r="G152" s="2">
        <f t="shared" si="8"/>
        <v>14.85</v>
      </c>
      <c r="H152" s="2">
        <f t="shared" si="8"/>
        <v>0</v>
      </c>
      <c r="I152" s="2">
        <f t="shared" si="8"/>
        <v>20.55</v>
      </c>
      <c r="J152">
        <v>1</v>
      </c>
    </row>
    <row r="153" spans="1:10" ht="15">
      <c r="A153">
        <v>1035</v>
      </c>
      <c r="B153" t="s">
        <v>334</v>
      </c>
      <c r="C153" s="203">
        <f t="shared" si="8"/>
        <v>54.5</v>
      </c>
      <c r="D153" s="203">
        <f t="shared" si="8"/>
        <v>0</v>
      </c>
      <c r="E153" s="2">
        <f t="shared" si="8"/>
        <v>51.68</v>
      </c>
      <c r="F153" s="2">
        <f t="shared" si="8"/>
        <v>23.7</v>
      </c>
      <c r="G153" s="2">
        <f t="shared" si="8"/>
        <v>14.85</v>
      </c>
      <c r="H153" s="2">
        <f t="shared" si="8"/>
        <v>0</v>
      </c>
      <c r="I153" s="2">
        <f t="shared" si="8"/>
        <v>20.55</v>
      </c>
      <c r="J153">
        <v>1</v>
      </c>
    </row>
    <row r="154" spans="1:10" ht="15">
      <c r="A154">
        <v>1036</v>
      </c>
      <c r="B154" t="s">
        <v>185</v>
      </c>
      <c r="C154" s="203">
        <f t="shared" si="8"/>
        <v>54.5</v>
      </c>
      <c r="D154" s="203">
        <f t="shared" si="8"/>
        <v>0</v>
      </c>
      <c r="E154" s="2">
        <f t="shared" si="8"/>
        <v>51.68</v>
      </c>
      <c r="F154" s="2">
        <f t="shared" si="8"/>
        <v>23.7</v>
      </c>
      <c r="G154" s="2">
        <f t="shared" si="8"/>
        <v>14.85</v>
      </c>
      <c r="H154" s="2">
        <f t="shared" si="8"/>
        <v>0</v>
      </c>
      <c r="I154" s="2">
        <f t="shared" si="8"/>
        <v>20.55</v>
      </c>
      <c r="J154">
        <v>1</v>
      </c>
    </row>
    <row r="155" spans="1:10" ht="15">
      <c r="A155">
        <v>2000</v>
      </c>
      <c r="B155" t="s">
        <v>335</v>
      </c>
      <c r="C155" s="203">
        <f t="shared" si="8"/>
        <v>58.74</v>
      </c>
      <c r="D155" s="203">
        <f t="shared" si="8"/>
        <v>0</v>
      </c>
      <c r="E155" s="2">
        <f t="shared" si="8"/>
        <v>56.08</v>
      </c>
      <c r="F155" s="2">
        <f t="shared" si="8"/>
        <v>32.33</v>
      </c>
      <c r="G155" s="2">
        <f t="shared" si="8"/>
        <v>0</v>
      </c>
      <c r="H155" s="2">
        <f t="shared" si="8"/>
        <v>0</v>
      </c>
      <c r="I155" s="2">
        <f t="shared" si="8"/>
        <v>14.74</v>
      </c>
      <c r="J155">
        <v>0</v>
      </c>
    </row>
    <row r="156" spans="1:10" ht="15">
      <c r="A156">
        <v>2001</v>
      </c>
      <c r="B156" t="s">
        <v>336</v>
      </c>
      <c r="C156" s="203">
        <f t="shared" si="8"/>
        <v>54.5</v>
      </c>
      <c r="D156" s="203">
        <f t="shared" si="8"/>
        <v>0</v>
      </c>
      <c r="E156" s="2">
        <f t="shared" si="8"/>
        <v>51.68</v>
      </c>
      <c r="F156" s="2">
        <f t="shared" si="8"/>
        <v>23.7</v>
      </c>
      <c r="G156" s="2">
        <f t="shared" si="8"/>
        <v>14.85</v>
      </c>
      <c r="H156" s="2">
        <f t="shared" si="8"/>
        <v>0</v>
      </c>
      <c r="I156" s="2">
        <f t="shared" si="8"/>
        <v>20.55</v>
      </c>
      <c r="J156">
        <v>1</v>
      </c>
    </row>
    <row r="157" spans="1:10" ht="15">
      <c r="A157">
        <v>2002</v>
      </c>
      <c r="B157" t="s">
        <v>337</v>
      </c>
      <c r="C157" s="203">
        <f t="shared" si="8"/>
        <v>54.5</v>
      </c>
      <c r="D157" s="203">
        <f t="shared" si="8"/>
        <v>0</v>
      </c>
      <c r="E157" s="2">
        <f t="shared" si="8"/>
        <v>51.68</v>
      </c>
      <c r="F157" s="2">
        <f t="shared" si="8"/>
        <v>23.7</v>
      </c>
      <c r="G157" s="2">
        <f t="shared" si="8"/>
        <v>14.85</v>
      </c>
      <c r="H157" s="2">
        <f t="shared" si="8"/>
        <v>0</v>
      </c>
      <c r="I157" s="2">
        <f t="shared" si="8"/>
        <v>20.55</v>
      </c>
      <c r="J157">
        <v>1</v>
      </c>
    </row>
    <row r="158" spans="1:10" ht="15">
      <c r="A158">
        <v>2003</v>
      </c>
      <c r="B158" t="s">
        <v>197</v>
      </c>
      <c r="C158" s="203">
        <f t="shared" si="8"/>
        <v>54.5</v>
      </c>
      <c r="D158" s="203">
        <f t="shared" si="8"/>
        <v>0</v>
      </c>
      <c r="E158" s="2">
        <f t="shared" si="8"/>
        <v>51.68</v>
      </c>
      <c r="F158" s="2">
        <f t="shared" si="8"/>
        <v>23.7</v>
      </c>
      <c r="G158" s="2">
        <f t="shared" si="8"/>
        <v>14.85</v>
      </c>
      <c r="H158" s="2">
        <f t="shared" si="8"/>
        <v>0</v>
      </c>
      <c r="I158" s="2">
        <f t="shared" si="8"/>
        <v>20.55</v>
      </c>
      <c r="J158">
        <v>1</v>
      </c>
    </row>
    <row r="159" spans="1:10" ht="15">
      <c r="A159">
        <v>2004</v>
      </c>
      <c r="B159" t="s">
        <v>338</v>
      </c>
      <c r="C159" s="203">
        <f t="shared" si="8"/>
        <v>54.5</v>
      </c>
      <c r="D159" s="203">
        <f t="shared" si="8"/>
        <v>0</v>
      </c>
      <c r="E159" s="2">
        <f t="shared" si="8"/>
        <v>51.68</v>
      </c>
      <c r="F159" s="2">
        <f t="shared" si="8"/>
        <v>23.7</v>
      </c>
      <c r="G159" s="2">
        <f t="shared" si="8"/>
        <v>14.85</v>
      </c>
      <c r="H159" s="2">
        <f t="shared" si="8"/>
        <v>0</v>
      </c>
      <c r="I159" s="2">
        <f t="shared" si="8"/>
        <v>20.55</v>
      </c>
      <c r="J159">
        <v>1</v>
      </c>
    </row>
    <row r="160" spans="1:10" ht="15">
      <c r="A160">
        <v>2005</v>
      </c>
      <c r="B160" t="s">
        <v>585</v>
      </c>
      <c r="C160" s="203">
        <f t="shared" si="8"/>
        <v>54.5</v>
      </c>
      <c r="D160" s="203">
        <f t="shared" si="8"/>
        <v>0</v>
      </c>
      <c r="E160" s="2">
        <f t="shared" si="8"/>
        <v>51.68</v>
      </c>
      <c r="F160" s="2">
        <f t="shared" si="8"/>
        <v>23.7</v>
      </c>
      <c r="G160" s="2">
        <f t="shared" si="8"/>
        <v>14.85</v>
      </c>
      <c r="H160" s="2">
        <f t="shared" si="8"/>
        <v>0</v>
      </c>
      <c r="I160" s="2">
        <f t="shared" si="8"/>
        <v>20.55</v>
      </c>
      <c r="J160">
        <v>1</v>
      </c>
    </row>
    <row r="161" spans="1:10" ht="15">
      <c r="A161">
        <v>2006</v>
      </c>
      <c r="B161" t="s">
        <v>339</v>
      </c>
      <c r="C161" s="203">
        <f t="shared" si="8"/>
        <v>54.5</v>
      </c>
      <c r="D161" s="203">
        <f t="shared" si="8"/>
        <v>0</v>
      </c>
      <c r="E161" s="2">
        <f t="shared" si="8"/>
        <v>51.68</v>
      </c>
      <c r="F161" s="2">
        <f t="shared" si="8"/>
        <v>23.7</v>
      </c>
      <c r="G161" s="2">
        <f t="shared" si="8"/>
        <v>14.85</v>
      </c>
      <c r="H161" s="2">
        <f t="shared" si="8"/>
        <v>0</v>
      </c>
      <c r="I161" s="2">
        <f t="shared" si="8"/>
        <v>20.55</v>
      </c>
      <c r="J161">
        <v>1</v>
      </c>
    </row>
    <row r="162" spans="1:10" ht="15">
      <c r="A162">
        <v>2007</v>
      </c>
      <c r="B162" t="s">
        <v>340</v>
      </c>
      <c r="C162" s="203">
        <f t="shared" si="8"/>
        <v>54.5</v>
      </c>
      <c r="D162" s="203">
        <f t="shared" si="8"/>
        <v>0</v>
      </c>
      <c r="E162" s="2">
        <f t="shared" si="8"/>
        <v>51.68</v>
      </c>
      <c r="F162" s="2">
        <f t="shared" si="8"/>
        <v>23.7</v>
      </c>
      <c r="G162" s="2">
        <f t="shared" si="8"/>
        <v>14.85</v>
      </c>
      <c r="H162" s="2">
        <f t="shared" si="8"/>
        <v>0</v>
      </c>
      <c r="I162" s="2">
        <f t="shared" si="8"/>
        <v>20.55</v>
      </c>
      <c r="J162">
        <v>1</v>
      </c>
    </row>
    <row r="163" spans="1:10" ht="15">
      <c r="A163">
        <v>2008</v>
      </c>
      <c r="B163" t="s">
        <v>341</v>
      </c>
      <c r="C163" s="203">
        <f t="shared" si="8"/>
        <v>54.5</v>
      </c>
      <c r="D163" s="203">
        <f t="shared" si="8"/>
        <v>0</v>
      </c>
      <c r="E163" s="2">
        <f t="shared" si="8"/>
        <v>51.68</v>
      </c>
      <c r="F163" s="2">
        <f t="shared" si="8"/>
        <v>23.7</v>
      </c>
      <c r="G163" s="2">
        <f t="shared" si="8"/>
        <v>14.85</v>
      </c>
      <c r="H163" s="2">
        <f t="shared" si="8"/>
        <v>0</v>
      </c>
      <c r="I163" s="2">
        <f t="shared" si="8"/>
        <v>20.55</v>
      </c>
      <c r="J163">
        <v>1</v>
      </c>
    </row>
    <row r="164" spans="1:10" ht="15">
      <c r="A164">
        <v>2009</v>
      </c>
      <c r="B164" t="s">
        <v>586</v>
      </c>
      <c r="C164" s="203">
        <f t="shared" si="8"/>
        <v>54.5</v>
      </c>
      <c r="D164" s="203">
        <f t="shared" si="8"/>
        <v>0</v>
      </c>
      <c r="E164" s="2">
        <f t="shared" si="8"/>
        <v>51.68</v>
      </c>
      <c r="F164" s="2">
        <f t="shared" si="8"/>
        <v>23.7</v>
      </c>
      <c r="G164" s="2">
        <f t="shared" si="8"/>
        <v>14.85</v>
      </c>
      <c r="H164" s="2">
        <f t="shared" si="8"/>
        <v>0</v>
      </c>
      <c r="I164" s="2">
        <f t="shared" si="8"/>
        <v>20.55</v>
      </c>
      <c r="J164">
        <v>1</v>
      </c>
    </row>
    <row r="165" spans="1:10" ht="15">
      <c r="A165">
        <v>2010</v>
      </c>
      <c r="B165" t="s">
        <v>342</v>
      </c>
      <c r="C165" s="203">
        <f t="shared" si="8"/>
        <v>54.5</v>
      </c>
      <c r="D165" s="203">
        <f t="shared" si="8"/>
        <v>0</v>
      </c>
      <c r="E165" s="2">
        <f t="shared" si="8"/>
        <v>51.68</v>
      </c>
      <c r="F165" s="2">
        <f t="shared" si="8"/>
        <v>23.7</v>
      </c>
      <c r="G165" s="2">
        <f t="shared" si="8"/>
        <v>14.85</v>
      </c>
      <c r="H165" s="2">
        <f t="shared" si="8"/>
        <v>0</v>
      </c>
      <c r="I165" s="2">
        <f t="shared" si="8"/>
        <v>20.55</v>
      </c>
      <c r="J165">
        <v>1</v>
      </c>
    </row>
    <row r="166" spans="1:10" ht="15">
      <c r="A166">
        <v>2011</v>
      </c>
      <c r="B166" t="s">
        <v>343</v>
      </c>
      <c r="C166" s="203">
        <f t="shared" si="8"/>
        <v>50.1</v>
      </c>
      <c r="D166" s="203">
        <f t="shared" si="8"/>
        <v>38.04</v>
      </c>
      <c r="E166" s="2">
        <f t="shared" si="8"/>
        <v>36.96</v>
      </c>
      <c r="F166" s="2">
        <f t="shared" si="8"/>
        <v>21.15</v>
      </c>
      <c r="G166" s="2">
        <f t="shared" si="8"/>
        <v>13.79</v>
      </c>
      <c r="H166" s="2">
        <f t="shared" si="8"/>
        <v>12.13</v>
      </c>
      <c r="I166" s="2">
        <f t="shared" si="8"/>
        <v>38.94</v>
      </c>
      <c r="J166">
        <v>2</v>
      </c>
    </row>
    <row r="167" spans="1:10" ht="15">
      <c r="A167">
        <v>2012</v>
      </c>
      <c r="B167" t="s">
        <v>587</v>
      </c>
      <c r="C167" s="203">
        <f t="shared" si="8"/>
        <v>54.5</v>
      </c>
      <c r="D167" s="203">
        <f t="shared" si="8"/>
        <v>0</v>
      </c>
      <c r="E167" s="2">
        <f t="shared" si="8"/>
        <v>51.68</v>
      </c>
      <c r="F167" s="2">
        <f t="shared" si="8"/>
        <v>23.7</v>
      </c>
      <c r="G167" s="2">
        <f t="shared" si="8"/>
        <v>14.85</v>
      </c>
      <c r="H167" s="2">
        <f t="shared" si="8"/>
        <v>0</v>
      </c>
      <c r="I167" s="2">
        <f t="shared" si="8"/>
        <v>20.55</v>
      </c>
      <c r="J167">
        <v>1</v>
      </c>
    </row>
    <row r="168" spans="1:10" ht="15">
      <c r="A168">
        <v>2013</v>
      </c>
      <c r="B168" t="s">
        <v>344</v>
      </c>
      <c r="C168" s="203">
        <f t="shared" si="8"/>
        <v>54.5</v>
      </c>
      <c r="D168" s="203">
        <f t="shared" si="8"/>
        <v>0</v>
      </c>
      <c r="E168" s="2">
        <f t="shared" si="8"/>
        <v>51.68</v>
      </c>
      <c r="F168" s="2">
        <f t="shared" si="8"/>
        <v>23.7</v>
      </c>
      <c r="G168" s="2">
        <f t="shared" si="8"/>
        <v>14.85</v>
      </c>
      <c r="H168" s="2">
        <f t="shared" si="8"/>
        <v>0</v>
      </c>
      <c r="I168" s="2">
        <f t="shared" si="8"/>
        <v>20.55</v>
      </c>
      <c r="J168">
        <v>1</v>
      </c>
    </row>
    <row r="169" spans="1:10" ht="15">
      <c r="A169">
        <v>2014</v>
      </c>
      <c r="B169" t="s">
        <v>345</v>
      </c>
      <c r="C169" s="203">
        <f t="shared" si="8"/>
        <v>54.5</v>
      </c>
      <c r="D169" s="203">
        <f t="shared" si="8"/>
        <v>0</v>
      </c>
      <c r="E169" s="2">
        <f t="shared" si="8"/>
        <v>51.68</v>
      </c>
      <c r="F169" s="2">
        <f t="shared" si="8"/>
        <v>23.7</v>
      </c>
      <c r="G169" s="2">
        <f t="shared" si="8"/>
        <v>14.85</v>
      </c>
      <c r="H169" s="2">
        <f t="shared" si="8"/>
        <v>0</v>
      </c>
      <c r="I169" s="2">
        <f t="shared" si="8"/>
        <v>20.55</v>
      </c>
      <c r="J169">
        <v>1</v>
      </c>
    </row>
    <row r="170" spans="1:10" ht="15">
      <c r="A170">
        <v>2015</v>
      </c>
      <c r="B170" t="s">
        <v>346</v>
      </c>
      <c r="C170" s="203">
        <f t="shared" si="8"/>
        <v>54.5</v>
      </c>
      <c r="D170" s="203">
        <f t="shared" si="8"/>
        <v>0</v>
      </c>
      <c r="E170" s="2">
        <f t="shared" si="8"/>
        <v>51.68</v>
      </c>
      <c r="F170" s="2">
        <f t="shared" si="8"/>
        <v>23.7</v>
      </c>
      <c r="G170" s="2">
        <f t="shared" si="8"/>
        <v>14.85</v>
      </c>
      <c r="H170" s="2">
        <f t="shared" si="8"/>
        <v>0</v>
      </c>
      <c r="I170" s="2">
        <f t="shared" si="8"/>
        <v>20.55</v>
      </c>
      <c r="J170">
        <v>1</v>
      </c>
    </row>
    <row r="171" spans="1:10" ht="15">
      <c r="A171">
        <v>2016</v>
      </c>
      <c r="B171" t="s">
        <v>347</v>
      </c>
      <c r="C171" s="203">
        <f t="shared" si="8"/>
        <v>54.5</v>
      </c>
      <c r="D171" s="203">
        <f t="shared" si="8"/>
        <v>0</v>
      </c>
      <c r="E171" s="2">
        <f t="shared" si="8"/>
        <v>51.68</v>
      </c>
      <c r="F171" s="2">
        <f t="shared" si="8"/>
        <v>23.7</v>
      </c>
      <c r="G171" s="2">
        <f t="shared" si="8"/>
        <v>14.85</v>
      </c>
      <c r="H171" s="2">
        <f t="shared" si="8"/>
        <v>0</v>
      </c>
      <c r="I171" s="2">
        <f t="shared" si="8"/>
        <v>20.55</v>
      </c>
      <c r="J171">
        <v>1</v>
      </c>
    </row>
    <row r="172" spans="1:10" ht="15">
      <c r="A172">
        <v>2017</v>
      </c>
      <c r="B172" t="s">
        <v>348</v>
      </c>
      <c r="C172" s="203">
        <f t="shared" si="8"/>
        <v>54.5</v>
      </c>
      <c r="D172" s="203">
        <f t="shared" si="8"/>
        <v>0</v>
      </c>
      <c r="E172" s="2">
        <f t="shared" si="8"/>
        <v>51.68</v>
      </c>
      <c r="F172" s="2">
        <f t="shared" si="8"/>
        <v>23.7</v>
      </c>
      <c r="G172" s="2">
        <f t="shared" si="8"/>
        <v>14.85</v>
      </c>
      <c r="H172" s="2">
        <f t="shared" si="8"/>
        <v>0</v>
      </c>
      <c r="I172" s="2">
        <f t="shared" si="8"/>
        <v>20.55</v>
      </c>
      <c r="J172">
        <v>1</v>
      </c>
    </row>
    <row r="173" spans="1:10" ht="15">
      <c r="A173">
        <v>2018</v>
      </c>
      <c r="B173" t="s">
        <v>349</v>
      </c>
      <c r="C173" s="203">
        <f t="shared" si="8"/>
        <v>54.5</v>
      </c>
      <c r="D173" s="203">
        <f t="shared" si="8"/>
        <v>0</v>
      </c>
      <c r="E173" s="2">
        <f t="shared" si="8"/>
        <v>51.68</v>
      </c>
      <c r="F173" s="2">
        <f t="shared" si="8"/>
        <v>23.7</v>
      </c>
      <c r="G173" s="2">
        <f t="shared" si="8"/>
        <v>14.85</v>
      </c>
      <c r="H173" s="2">
        <f t="shared" si="8"/>
        <v>0</v>
      </c>
      <c r="I173" s="2">
        <f t="shared" si="8"/>
        <v>20.55</v>
      </c>
      <c r="J173">
        <v>1</v>
      </c>
    </row>
    <row r="174" spans="1:10" ht="15">
      <c r="A174">
        <v>2019</v>
      </c>
      <c r="B174" t="s">
        <v>350</v>
      </c>
      <c r="C174" s="203">
        <f t="shared" si="8"/>
        <v>54.5</v>
      </c>
      <c r="D174" s="203">
        <f t="shared" si="8"/>
        <v>0</v>
      </c>
      <c r="E174" s="2">
        <f t="shared" si="8"/>
        <v>51.68</v>
      </c>
      <c r="F174" s="2">
        <f t="shared" si="8"/>
        <v>23.7</v>
      </c>
      <c r="G174" s="2">
        <f t="shared" si="8"/>
        <v>14.85</v>
      </c>
      <c r="H174" s="2">
        <f t="shared" si="8"/>
        <v>0</v>
      </c>
      <c r="I174" s="2">
        <f t="shared" si="8"/>
        <v>20.55</v>
      </c>
      <c r="J174">
        <v>1</v>
      </c>
    </row>
    <row r="175" spans="1:10" ht="15">
      <c r="A175">
        <v>2020</v>
      </c>
      <c r="B175" t="s">
        <v>351</v>
      </c>
      <c r="C175" s="203">
        <f t="shared" si="8"/>
        <v>54.5</v>
      </c>
      <c r="D175" s="203">
        <f t="shared" si="8"/>
        <v>0</v>
      </c>
      <c r="E175" s="2">
        <f t="shared" si="8"/>
        <v>51.68</v>
      </c>
      <c r="F175" s="2">
        <f t="shared" si="8"/>
        <v>23.7</v>
      </c>
      <c r="G175" s="2">
        <f t="shared" si="8"/>
        <v>14.85</v>
      </c>
      <c r="H175" s="2">
        <f t="shared" si="8"/>
        <v>0</v>
      </c>
      <c r="I175" s="2">
        <f t="shared" si="8"/>
        <v>20.55</v>
      </c>
      <c r="J175">
        <v>1</v>
      </c>
    </row>
    <row r="176" spans="1:10" ht="15">
      <c r="A176">
        <v>2021</v>
      </c>
      <c r="B176" t="s">
        <v>352</v>
      </c>
      <c r="C176" s="203">
        <f t="shared" si="8"/>
        <v>54.5</v>
      </c>
      <c r="D176" s="203">
        <f t="shared" si="8"/>
        <v>0</v>
      </c>
      <c r="E176" s="2">
        <f t="shared" si="8"/>
        <v>51.68</v>
      </c>
      <c r="F176" s="2">
        <f t="shared" si="8"/>
        <v>23.7</v>
      </c>
      <c r="G176" s="2">
        <f t="shared" si="8"/>
        <v>14.85</v>
      </c>
      <c r="H176" s="2">
        <f t="shared" si="8"/>
        <v>0</v>
      </c>
      <c r="I176" s="2">
        <f t="shared" si="8"/>
        <v>20.55</v>
      </c>
      <c r="J176">
        <v>1</v>
      </c>
    </row>
    <row r="177" spans="1:10" ht="15">
      <c r="A177">
        <v>3000</v>
      </c>
      <c r="B177" t="s">
        <v>353</v>
      </c>
      <c r="C177" s="203">
        <f t="shared" si="8"/>
        <v>58.74</v>
      </c>
      <c r="D177" s="203">
        <f t="shared" si="8"/>
        <v>0</v>
      </c>
      <c r="E177" s="2">
        <f t="shared" si="8"/>
        <v>56.08</v>
      </c>
      <c r="F177" s="2">
        <f t="shared" si="8"/>
        <v>32.33</v>
      </c>
      <c r="G177" s="2">
        <f t="shared" si="8"/>
        <v>0</v>
      </c>
      <c r="H177" s="2">
        <f t="shared" si="8"/>
        <v>0</v>
      </c>
      <c r="I177" s="2">
        <f t="shared" si="8"/>
        <v>14.74</v>
      </c>
      <c r="J177">
        <v>0</v>
      </c>
    </row>
    <row r="178" spans="1:10" ht="15">
      <c r="A178">
        <v>3001</v>
      </c>
      <c r="B178" t="s">
        <v>588</v>
      </c>
      <c r="C178" s="203">
        <f t="shared" si="8"/>
        <v>54.5</v>
      </c>
      <c r="D178" s="203">
        <f t="shared" si="8"/>
        <v>0</v>
      </c>
      <c r="E178" s="2">
        <f t="shared" si="8"/>
        <v>51.68</v>
      </c>
      <c r="F178" s="2">
        <f t="shared" si="8"/>
        <v>23.7</v>
      </c>
      <c r="G178" s="2">
        <f t="shared" si="8"/>
        <v>14.85</v>
      </c>
      <c r="H178" s="2">
        <f t="shared" si="8"/>
        <v>0</v>
      </c>
      <c r="I178" s="2">
        <f t="shared" si="8"/>
        <v>20.55</v>
      </c>
      <c r="J178">
        <v>1</v>
      </c>
    </row>
    <row r="179" spans="1:10" ht="15">
      <c r="A179">
        <v>3002</v>
      </c>
      <c r="B179" t="s">
        <v>354</v>
      </c>
      <c r="C179" s="203">
        <f t="shared" si="8"/>
        <v>50.1</v>
      </c>
      <c r="D179" s="203">
        <f t="shared" si="8"/>
        <v>38.04</v>
      </c>
      <c r="E179" s="2">
        <f t="shared" si="8"/>
        <v>36.96</v>
      </c>
      <c r="F179" s="2">
        <f t="shared" si="8"/>
        <v>21.15</v>
      </c>
      <c r="G179" s="2">
        <f t="shared" si="8"/>
        <v>13.79</v>
      </c>
      <c r="H179" s="2">
        <f t="shared" si="8"/>
        <v>12.13</v>
      </c>
      <c r="I179" s="2">
        <f t="shared" si="8"/>
        <v>38.94</v>
      </c>
      <c r="J179">
        <v>2</v>
      </c>
    </row>
    <row r="180" spans="1:10" ht="15">
      <c r="A180">
        <v>3003</v>
      </c>
      <c r="B180" t="s">
        <v>355</v>
      </c>
      <c r="C180" s="203">
        <f t="shared" si="8"/>
        <v>54.5</v>
      </c>
      <c r="D180" s="203">
        <f t="shared" si="8"/>
        <v>0</v>
      </c>
      <c r="E180" s="2">
        <f t="shared" si="8"/>
        <v>51.68</v>
      </c>
      <c r="F180" s="2">
        <f t="shared" si="8"/>
        <v>23.7</v>
      </c>
      <c r="G180" s="2">
        <f t="shared" si="8"/>
        <v>14.85</v>
      </c>
      <c r="H180" s="2">
        <f t="shared" si="8"/>
        <v>0</v>
      </c>
      <c r="I180" s="2">
        <f t="shared" si="8"/>
        <v>20.55</v>
      </c>
      <c r="J180">
        <v>1</v>
      </c>
    </row>
    <row r="181" spans="1:10" ht="15">
      <c r="A181">
        <v>3004</v>
      </c>
      <c r="B181" t="s">
        <v>356</v>
      </c>
      <c r="C181" s="203">
        <f t="shared" si="8"/>
        <v>54.5</v>
      </c>
      <c r="D181" s="203">
        <f t="shared" si="8"/>
        <v>0</v>
      </c>
      <c r="E181" s="2">
        <f t="shared" si="8"/>
        <v>51.68</v>
      </c>
      <c r="F181" s="2">
        <f t="shared" si="8"/>
        <v>23.7</v>
      </c>
      <c r="G181" s="2">
        <f t="shared" si="8"/>
        <v>14.85</v>
      </c>
      <c r="H181" s="2">
        <f t="shared" si="8"/>
        <v>0</v>
      </c>
      <c r="I181" s="2">
        <f t="shared" si="8"/>
        <v>20.55</v>
      </c>
      <c r="J181">
        <v>1</v>
      </c>
    </row>
    <row r="182" spans="1:10" ht="15">
      <c r="A182">
        <v>3005</v>
      </c>
      <c r="B182" t="s">
        <v>357</v>
      </c>
      <c r="C182" s="203">
        <f t="shared" si="8"/>
        <v>54.5</v>
      </c>
      <c r="D182" s="203">
        <f t="shared" si="8"/>
        <v>0</v>
      </c>
      <c r="E182" s="2">
        <f t="shared" si="8"/>
        <v>51.68</v>
      </c>
      <c r="F182" s="2">
        <f t="shared" si="8"/>
        <v>23.7</v>
      </c>
      <c r="G182" s="2">
        <f t="shared" si="8"/>
        <v>14.85</v>
      </c>
      <c r="H182" s="2">
        <f t="shared" si="8"/>
        <v>0</v>
      </c>
      <c r="I182" s="2">
        <f t="shared" si="8"/>
        <v>20.55</v>
      </c>
      <c r="J182">
        <v>1</v>
      </c>
    </row>
    <row r="183" spans="1:10" ht="15">
      <c r="A183">
        <v>3006</v>
      </c>
      <c r="B183" t="s">
        <v>589</v>
      </c>
      <c r="C183" s="203">
        <f aca="true" t="shared" si="9" ref="C183:I219">VLOOKUP($J183,$L$118:$S$120,C$115,FALSE)</f>
        <v>54.5</v>
      </c>
      <c r="D183" s="203">
        <f t="shared" si="9"/>
        <v>0</v>
      </c>
      <c r="E183" s="2">
        <f t="shared" si="9"/>
        <v>51.68</v>
      </c>
      <c r="F183" s="2">
        <f t="shared" si="9"/>
        <v>23.7</v>
      </c>
      <c r="G183" s="2">
        <f t="shared" si="9"/>
        <v>14.85</v>
      </c>
      <c r="H183" s="2">
        <f t="shared" si="9"/>
        <v>0</v>
      </c>
      <c r="I183" s="2">
        <f t="shared" si="9"/>
        <v>20.55</v>
      </c>
      <c r="J183">
        <v>1</v>
      </c>
    </row>
    <row r="184" spans="1:10" ht="15">
      <c r="A184">
        <v>3007</v>
      </c>
      <c r="B184" t="s">
        <v>358</v>
      </c>
      <c r="C184" s="203">
        <f t="shared" si="9"/>
        <v>54.5</v>
      </c>
      <c r="D184" s="203">
        <f t="shared" si="9"/>
        <v>0</v>
      </c>
      <c r="E184" s="2">
        <f t="shared" si="9"/>
        <v>51.68</v>
      </c>
      <c r="F184" s="2">
        <f t="shared" si="9"/>
        <v>23.7</v>
      </c>
      <c r="G184" s="2">
        <f t="shared" si="9"/>
        <v>14.85</v>
      </c>
      <c r="H184" s="2">
        <f t="shared" si="9"/>
        <v>0</v>
      </c>
      <c r="I184" s="2">
        <f t="shared" si="9"/>
        <v>20.55</v>
      </c>
      <c r="J184">
        <v>1</v>
      </c>
    </row>
    <row r="185" spans="1:10" ht="15">
      <c r="A185">
        <v>3008</v>
      </c>
      <c r="B185" t="s">
        <v>359</v>
      </c>
      <c r="C185" s="203">
        <f t="shared" si="9"/>
        <v>54.5</v>
      </c>
      <c r="D185" s="203">
        <f t="shared" si="9"/>
        <v>0</v>
      </c>
      <c r="E185" s="2">
        <f t="shared" si="9"/>
        <v>51.68</v>
      </c>
      <c r="F185" s="2">
        <f t="shared" si="9"/>
        <v>23.7</v>
      </c>
      <c r="G185" s="2">
        <f t="shared" si="9"/>
        <v>14.85</v>
      </c>
      <c r="H185" s="2">
        <f t="shared" si="9"/>
        <v>0</v>
      </c>
      <c r="I185" s="2">
        <f t="shared" si="9"/>
        <v>20.55</v>
      </c>
      <c r="J185">
        <v>1</v>
      </c>
    </row>
    <row r="186" spans="1:10" ht="15">
      <c r="A186">
        <v>3009</v>
      </c>
      <c r="B186" t="s">
        <v>360</v>
      </c>
      <c r="C186" s="203">
        <f t="shared" si="9"/>
        <v>54.5</v>
      </c>
      <c r="D186" s="203">
        <f t="shared" si="9"/>
        <v>0</v>
      </c>
      <c r="E186" s="2">
        <f t="shared" si="9"/>
        <v>51.68</v>
      </c>
      <c r="F186" s="2">
        <f t="shared" si="9"/>
        <v>23.7</v>
      </c>
      <c r="G186" s="2">
        <f t="shared" si="9"/>
        <v>14.85</v>
      </c>
      <c r="H186" s="2">
        <f t="shared" si="9"/>
        <v>0</v>
      </c>
      <c r="I186" s="2">
        <f t="shared" si="9"/>
        <v>20.55</v>
      </c>
      <c r="J186">
        <v>1</v>
      </c>
    </row>
    <row r="187" spans="1:10" ht="15">
      <c r="A187">
        <v>3010</v>
      </c>
      <c r="B187" t="s">
        <v>361</v>
      </c>
      <c r="C187" s="203">
        <f t="shared" si="9"/>
        <v>54.5</v>
      </c>
      <c r="D187" s="203">
        <f t="shared" si="9"/>
        <v>0</v>
      </c>
      <c r="E187" s="2">
        <f t="shared" si="9"/>
        <v>51.68</v>
      </c>
      <c r="F187" s="2">
        <f t="shared" si="9"/>
        <v>23.7</v>
      </c>
      <c r="G187" s="2">
        <f t="shared" si="9"/>
        <v>14.85</v>
      </c>
      <c r="H187" s="2">
        <f t="shared" si="9"/>
        <v>0</v>
      </c>
      <c r="I187" s="2">
        <f t="shared" si="9"/>
        <v>20.55</v>
      </c>
      <c r="J187">
        <v>1</v>
      </c>
    </row>
    <row r="188" spans="1:10" ht="15">
      <c r="A188">
        <v>3011</v>
      </c>
      <c r="B188" t="s">
        <v>362</v>
      </c>
      <c r="C188" s="203">
        <f t="shared" si="9"/>
        <v>54.5</v>
      </c>
      <c r="D188" s="203">
        <f t="shared" si="9"/>
        <v>0</v>
      </c>
      <c r="E188" s="2">
        <f t="shared" si="9"/>
        <v>51.68</v>
      </c>
      <c r="F188" s="2">
        <f t="shared" si="9"/>
        <v>23.7</v>
      </c>
      <c r="G188" s="2">
        <f t="shared" si="9"/>
        <v>14.85</v>
      </c>
      <c r="H188" s="2">
        <f t="shared" si="9"/>
        <v>0</v>
      </c>
      <c r="I188" s="2">
        <f t="shared" si="9"/>
        <v>20.55</v>
      </c>
      <c r="J188">
        <v>1</v>
      </c>
    </row>
    <row r="189" spans="1:10" ht="15">
      <c r="A189">
        <v>3012</v>
      </c>
      <c r="B189" t="s">
        <v>363</v>
      </c>
      <c r="C189" s="203">
        <f t="shared" si="9"/>
        <v>54.5</v>
      </c>
      <c r="D189" s="203">
        <f t="shared" si="9"/>
        <v>0</v>
      </c>
      <c r="E189" s="2">
        <f t="shared" si="9"/>
        <v>51.68</v>
      </c>
      <c r="F189" s="2">
        <f t="shared" si="9"/>
        <v>23.7</v>
      </c>
      <c r="G189" s="2">
        <f t="shared" si="9"/>
        <v>14.85</v>
      </c>
      <c r="H189" s="2">
        <f t="shared" si="9"/>
        <v>0</v>
      </c>
      <c r="I189" s="2">
        <f t="shared" si="9"/>
        <v>20.55</v>
      </c>
      <c r="J189">
        <v>1</v>
      </c>
    </row>
    <row r="190" spans="1:10" ht="15">
      <c r="A190">
        <v>3013</v>
      </c>
      <c r="B190" t="s">
        <v>364</v>
      </c>
      <c r="C190" s="203">
        <f t="shared" si="9"/>
        <v>54.5</v>
      </c>
      <c r="D190" s="203">
        <f t="shared" si="9"/>
        <v>0</v>
      </c>
      <c r="E190" s="2">
        <f t="shared" si="9"/>
        <v>51.68</v>
      </c>
      <c r="F190" s="2">
        <f t="shared" si="9"/>
        <v>23.7</v>
      </c>
      <c r="G190" s="2">
        <f t="shared" si="9"/>
        <v>14.85</v>
      </c>
      <c r="H190" s="2">
        <f t="shared" si="9"/>
        <v>0</v>
      </c>
      <c r="I190" s="2">
        <f t="shared" si="9"/>
        <v>20.55</v>
      </c>
      <c r="J190">
        <v>1</v>
      </c>
    </row>
    <row r="191" spans="1:10" ht="15">
      <c r="A191">
        <v>3014</v>
      </c>
      <c r="B191" t="s">
        <v>365</v>
      </c>
      <c r="C191" s="203">
        <f t="shared" si="9"/>
        <v>54.5</v>
      </c>
      <c r="D191" s="203">
        <f t="shared" si="9"/>
        <v>0</v>
      </c>
      <c r="E191" s="2">
        <f t="shared" si="9"/>
        <v>51.68</v>
      </c>
      <c r="F191" s="2">
        <f t="shared" si="9"/>
        <v>23.7</v>
      </c>
      <c r="G191" s="2">
        <f t="shared" si="9"/>
        <v>14.85</v>
      </c>
      <c r="H191" s="2">
        <f t="shared" si="9"/>
        <v>0</v>
      </c>
      <c r="I191" s="2">
        <f t="shared" si="9"/>
        <v>20.55</v>
      </c>
      <c r="J191">
        <v>1</v>
      </c>
    </row>
    <row r="192" spans="1:10" ht="15">
      <c r="A192">
        <v>3015</v>
      </c>
      <c r="B192" t="s">
        <v>366</v>
      </c>
      <c r="C192" s="203">
        <f t="shared" si="9"/>
        <v>54.5</v>
      </c>
      <c r="D192" s="203">
        <f t="shared" si="9"/>
        <v>0</v>
      </c>
      <c r="E192" s="2">
        <f t="shared" si="9"/>
        <v>51.68</v>
      </c>
      <c r="F192" s="2">
        <f t="shared" si="9"/>
        <v>23.7</v>
      </c>
      <c r="G192" s="2">
        <f t="shared" si="9"/>
        <v>14.85</v>
      </c>
      <c r="H192" s="2">
        <f t="shared" si="9"/>
        <v>0</v>
      </c>
      <c r="I192" s="2">
        <f t="shared" si="9"/>
        <v>20.55</v>
      </c>
      <c r="J192">
        <v>1</v>
      </c>
    </row>
    <row r="193" spans="1:10" ht="15">
      <c r="A193">
        <v>3016</v>
      </c>
      <c r="B193" t="s">
        <v>367</v>
      </c>
      <c r="C193" s="203">
        <f t="shared" si="9"/>
        <v>54.5</v>
      </c>
      <c r="D193" s="203">
        <f t="shared" si="9"/>
        <v>0</v>
      </c>
      <c r="E193" s="2">
        <f t="shared" si="9"/>
        <v>51.68</v>
      </c>
      <c r="F193" s="2">
        <f t="shared" si="9"/>
        <v>23.7</v>
      </c>
      <c r="G193" s="2">
        <f t="shared" si="9"/>
        <v>14.85</v>
      </c>
      <c r="H193" s="2">
        <f t="shared" si="9"/>
        <v>0</v>
      </c>
      <c r="I193" s="2">
        <f t="shared" si="9"/>
        <v>20.55</v>
      </c>
      <c r="J193">
        <v>1</v>
      </c>
    </row>
    <row r="194" spans="1:10" ht="15">
      <c r="A194">
        <v>3017</v>
      </c>
      <c r="B194" t="s">
        <v>191</v>
      </c>
      <c r="C194" s="203">
        <f t="shared" si="9"/>
        <v>54.5</v>
      </c>
      <c r="D194" s="203">
        <f t="shared" si="9"/>
        <v>0</v>
      </c>
      <c r="E194" s="2">
        <f t="shared" si="9"/>
        <v>51.68</v>
      </c>
      <c r="F194" s="2">
        <f t="shared" si="9"/>
        <v>23.7</v>
      </c>
      <c r="G194" s="2">
        <f t="shared" si="9"/>
        <v>14.85</v>
      </c>
      <c r="H194" s="2">
        <f t="shared" si="9"/>
        <v>0</v>
      </c>
      <c r="I194" s="2">
        <f t="shared" si="9"/>
        <v>20.55</v>
      </c>
      <c r="J194">
        <v>1</v>
      </c>
    </row>
    <row r="195" spans="1:10" ht="15">
      <c r="A195">
        <v>3018</v>
      </c>
      <c r="B195" t="s">
        <v>368</v>
      </c>
      <c r="C195" s="203">
        <f t="shared" si="9"/>
        <v>54.5</v>
      </c>
      <c r="D195" s="203">
        <f t="shared" si="9"/>
        <v>0</v>
      </c>
      <c r="E195" s="2">
        <f t="shared" si="9"/>
        <v>51.68</v>
      </c>
      <c r="F195" s="2">
        <f t="shared" si="9"/>
        <v>23.7</v>
      </c>
      <c r="G195" s="2">
        <f t="shared" si="9"/>
        <v>14.85</v>
      </c>
      <c r="H195" s="2">
        <f t="shared" si="9"/>
        <v>0</v>
      </c>
      <c r="I195" s="2">
        <f t="shared" si="9"/>
        <v>20.55</v>
      </c>
      <c r="J195">
        <v>1</v>
      </c>
    </row>
    <row r="196" spans="1:10" ht="15">
      <c r="A196">
        <v>3019</v>
      </c>
      <c r="B196" t="s">
        <v>369</v>
      </c>
      <c r="C196" s="203">
        <f t="shared" si="9"/>
        <v>54.5</v>
      </c>
      <c r="D196" s="203">
        <f t="shared" si="9"/>
        <v>0</v>
      </c>
      <c r="E196" s="2">
        <f t="shared" si="9"/>
        <v>51.68</v>
      </c>
      <c r="F196" s="2">
        <f t="shared" si="9"/>
        <v>23.7</v>
      </c>
      <c r="G196" s="2">
        <f t="shared" si="9"/>
        <v>14.85</v>
      </c>
      <c r="H196" s="2">
        <f t="shared" si="9"/>
        <v>0</v>
      </c>
      <c r="I196" s="2">
        <f t="shared" si="9"/>
        <v>20.55</v>
      </c>
      <c r="J196">
        <v>1</v>
      </c>
    </row>
    <row r="197" spans="1:10" ht="15">
      <c r="A197">
        <v>4000</v>
      </c>
      <c r="B197" t="s">
        <v>370</v>
      </c>
      <c r="C197" s="203">
        <f t="shared" si="9"/>
        <v>58.74</v>
      </c>
      <c r="D197" s="203">
        <f t="shared" si="9"/>
        <v>0</v>
      </c>
      <c r="E197" s="2">
        <f t="shared" si="9"/>
        <v>56.08</v>
      </c>
      <c r="F197" s="2">
        <f t="shared" si="9"/>
        <v>32.33</v>
      </c>
      <c r="G197" s="2">
        <f t="shared" si="9"/>
        <v>0</v>
      </c>
      <c r="H197" s="2">
        <f t="shared" si="9"/>
        <v>0</v>
      </c>
      <c r="I197" s="2">
        <f t="shared" si="9"/>
        <v>14.74</v>
      </c>
      <c r="J197">
        <v>0</v>
      </c>
    </row>
    <row r="198" spans="1:10" ht="15">
      <c r="A198">
        <v>4001</v>
      </c>
      <c r="B198" t="s">
        <v>371</v>
      </c>
      <c r="C198" s="203">
        <f t="shared" si="9"/>
        <v>50.1</v>
      </c>
      <c r="D198" s="203">
        <f t="shared" si="9"/>
        <v>38.04</v>
      </c>
      <c r="E198" s="2">
        <f t="shared" si="9"/>
        <v>36.96</v>
      </c>
      <c r="F198" s="2">
        <f t="shared" si="9"/>
        <v>21.15</v>
      </c>
      <c r="G198" s="2">
        <f t="shared" si="9"/>
        <v>13.79</v>
      </c>
      <c r="H198" s="2">
        <f t="shared" si="9"/>
        <v>12.13</v>
      </c>
      <c r="I198" s="2">
        <f t="shared" si="9"/>
        <v>38.94</v>
      </c>
      <c r="J198">
        <v>2</v>
      </c>
    </row>
    <row r="199" spans="1:10" ht="15">
      <c r="A199">
        <v>4002</v>
      </c>
      <c r="B199" t="s">
        <v>372</v>
      </c>
      <c r="C199" s="203">
        <f t="shared" si="9"/>
        <v>54.5</v>
      </c>
      <c r="D199" s="203">
        <f t="shared" si="9"/>
        <v>0</v>
      </c>
      <c r="E199" s="2">
        <f t="shared" si="9"/>
        <v>51.68</v>
      </c>
      <c r="F199" s="2">
        <f t="shared" si="9"/>
        <v>23.7</v>
      </c>
      <c r="G199" s="2">
        <f t="shared" si="9"/>
        <v>14.85</v>
      </c>
      <c r="H199" s="2">
        <f t="shared" si="9"/>
        <v>0</v>
      </c>
      <c r="I199" s="2">
        <f t="shared" si="9"/>
        <v>20.55</v>
      </c>
      <c r="J199">
        <v>1</v>
      </c>
    </row>
    <row r="200" spans="1:10" ht="15">
      <c r="A200">
        <v>4003</v>
      </c>
      <c r="B200" t="s">
        <v>373</v>
      </c>
      <c r="C200" s="203">
        <f t="shared" si="9"/>
        <v>54.5</v>
      </c>
      <c r="D200" s="203">
        <f t="shared" si="9"/>
        <v>0</v>
      </c>
      <c r="E200" s="2">
        <f t="shared" si="9"/>
        <v>51.68</v>
      </c>
      <c r="F200" s="2">
        <f t="shared" si="9"/>
        <v>23.7</v>
      </c>
      <c r="G200" s="2">
        <f t="shared" si="9"/>
        <v>14.85</v>
      </c>
      <c r="H200" s="2">
        <f t="shared" si="9"/>
        <v>0</v>
      </c>
      <c r="I200" s="2">
        <f t="shared" si="9"/>
        <v>20.55</v>
      </c>
      <c r="J200">
        <v>1</v>
      </c>
    </row>
    <row r="201" spans="1:10" ht="15">
      <c r="A201">
        <v>4004</v>
      </c>
      <c r="B201" t="s">
        <v>374</v>
      </c>
      <c r="C201" s="203">
        <f t="shared" si="9"/>
        <v>54.5</v>
      </c>
      <c r="D201" s="203">
        <f t="shared" si="9"/>
        <v>0</v>
      </c>
      <c r="E201" s="2">
        <f t="shared" si="9"/>
        <v>51.68</v>
      </c>
      <c r="F201" s="2">
        <f t="shared" si="9"/>
        <v>23.7</v>
      </c>
      <c r="G201" s="2">
        <f t="shared" si="9"/>
        <v>14.85</v>
      </c>
      <c r="H201" s="2">
        <f t="shared" si="9"/>
        <v>0</v>
      </c>
      <c r="I201" s="2">
        <f t="shared" si="9"/>
        <v>20.55</v>
      </c>
      <c r="J201">
        <v>1</v>
      </c>
    </row>
    <row r="202" spans="1:10" ht="15">
      <c r="A202">
        <v>4005</v>
      </c>
      <c r="B202" t="s">
        <v>375</v>
      </c>
      <c r="C202" s="203">
        <f t="shared" si="9"/>
        <v>54.5</v>
      </c>
      <c r="D202" s="203">
        <f t="shared" si="9"/>
        <v>0</v>
      </c>
      <c r="E202" s="2">
        <f t="shared" si="9"/>
        <v>51.68</v>
      </c>
      <c r="F202" s="2">
        <f t="shared" si="9"/>
        <v>23.7</v>
      </c>
      <c r="G202" s="2">
        <f t="shared" si="9"/>
        <v>14.85</v>
      </c>
      <c r="H202" s="2">
        <f t="shared" si="9"/>
        <v>0</v>
      </c>
      <c r="I202" s="2">
        <f t="shared" si="9"/>
        <v>20.55</v>
      </c>
      <c r="J202">
        <v>1</v>
      </c>
    </row>
    <row r="203" spans="1:10" ht="15">
      <c r="A203">
        <v>4006</v>
      </c>
      <c r="B203" t="s">
        <v>376</v>
      </c>
      <c r="C203" s="203">
        <f t="shared" si="9"/>
        <v>54.5</v>
      </c>
      <c r="D203" s="203">
        <f t="shared" si="9"/>
        <v>0</v>
      </c>
      <c r="E203" s="2">
        <f t="shared" si="9"/>
        <v>51.68</v>
      </c>
      <c r="F203" s="2">
        <f t="shared" si="9"/>
        <v>23.7</v>
      </c>
      <c r="G203" s="2">
        <f t="shared" si="9"/>
        <v>14.85</v>
      </c>
      <c r="H203" s="2">
        <f t="shared" si="9"/>
        <v>0</v>
      </c>
      <c r="I203" s="2">
        <f t="shared" si="9"/>
        <v>20.55</v>
      </c>
      <c r="J203">
        <v>1</v>
      </c>
    </row>
    <row r="204" spans="1:10" ht="15">
      <c r="A204">
        <v>4007</v>
      </c>
      <c r="B204" t="s">
        <v>377</v>
      </c>
      <c r="C204" s="203">
        <f t="shared" si="9"/>
        <v>54.5</v>
      </c>
      <c r="D204" s="203">
        <f t="shared" si="9"/>
        <v>0</v>
      </c>
      <c r="E204" s="2">
        <f t="shared" si="9"/>
        <v>51.68</v>
      </c>
      <c r="F204" s="2">
        <f t="shared" si="9"/>
        <v>23.7</v>
      </c>
      <c r="G204" s="2">
        <f t="shared" si="9"/>
        <v>14.85</v>
      </c>
      <c r="H204" s="2">
        <f t="shared" si="9"/>
        <v>0</v>
      </c>
      <c r="I204" s="2">
        <f t="shared" si="9"/>
        <v>20.55</v>
      </c>
      <c r="J204">
        <v>1</v>
      </c>
    </row>
    <row r="205" spans="1:10" ht="15">
      <c r="A205">
        <v>4008</v>
      </c>
      <c r="B205" t="s">
        <v>378</v>
      </c>
      <c r="C205" s="203">
        <f t="shared" si="9"/>
        <v>54.5</v>
      </c>
      <c r="D205" s="203">
        <f t="shared" si="9"/>
        <v>0</v>
      </c>
      <c r="E205" s="2">
        <f t="shared" si="9"/>
        <v>51.68</v>
      </c>
      <c r="F205" s="2">
        <f t="shared" si="9"/>
        <v>23.7</v>
      </c>
      <c r="G205" s="2">
        <f t="shared" si="9"/>
        <v>14.85</v>
      </c>
      <c r="H205" s="2">
        <f t="shared" si="9"/>
        <v>0</v>
      </c>
      <c r="I205" s="2">
        <f t="shared" si="9"/>
        <v>20.55</v>
      </c>
      <c r="J205">
        <v>1</v>
      </c>
    </row>
    <row r="206" spans="1:10" ht="15">
      <c r="A206">
        <v>5000</v>
      </c>
      <c r="B206" t="s">
        <v>379</v>
      </c>
      <c r="C206" s="203">
        <f t="shared" si="9"/>
        <v>58.74</v>
      </c>
      <c r="D206" s="203">
        <f t="shared" si="9"/>
        <v>0</v>
      </c>
      <c r="E206" s="2">
        <f t="shared" si="9"/>
        <v>56.08</v>
      </c>
      <c r="F206" s="2">
        <f t="shared" si="9"/>
        <v>32.33</v>
      </c>
      <c r="G206" s="2">
        <f t="shared" si="9"/>
        <v>0</v>
      </c>
      <c r="H206" s="2">
        <f t="shared" si="9"/>
        <v>0</v>
      </c>
      <c r="I206" s="2">
        <f t="shared" si="9"/>
        <v>14.74</v>
      </c>
      <c r="J206">
        <v>0</v>
      </c>
    </row>
    <row r="207" spans="1:10" ht="15">
      <c r="A207">
        <v>5001</v>
      </c>
      <c r="B207" t="s">
        <v>380</v>
      </c>
      <c r="C207" s="203">
        <f t="shared" si="9"/>
        <v>54.5</v>
      </c>
      <c r="D207" s="203">
        <f t="shared" si="9"/>
        <v>0</v>
      </c>
      <c r="E207" s="2">
        <f t="shared" si="9"/>
        <v>51.68</v>
      </c>
      <c r="F207" s="2">
        <f t="shared" si="9"/>
        <v>23.7</v>
      </c>
      <c r="G207" s="2">
        <f t="shared" si="9"/>
        <v>14.85</v>
      </c>
      <c r="H207" s="2">
        <f t="shared" si="9"/>
        <v>0</v>
      </c>
      <c r="I207" s="2">
        <f t="shared" si="9"/>
        <v>20.55</v>
      </c>
      <c r="J207">
        <v>1</v>
      </c>
    </row>
    <row r="208" spans="1:10" ht="15">
      <c r="A208">
        <v>5002</v>
      </c>
      <c r="B208" t="s">
        <v>381</v>
      </c>
      <c r="C208" s="203">
        <f t="shared" si="9"/>
        <v>54.5</v>
      </c>
      <c r="D208" s="203">
        <f t="shared" si="9"/>
        <v>0</v>
      </c>
      <c r="E208" s="2">
        <f t="shared" si="9"/>
        <v>51.68</v>
      </c>
      <c r="F208" s="2">
        <f t="shared" si="9"/>
        <v>23.7</v>
      </c>
      <c r="G208" s="2">
        <f t="shared" si="9"/>
        <v>14.85</v>
      </c>
      <c r="H208" s="2">
        <f t="shared" si="9"/>
        <v>0</v>
      </c>
      <c r="I208" s="2">
        <f t="shared" si="9"/>
        <v>20.55</v>
      </c>
      <c r="J208">
        <v>1</v>
      </c>
    </row>
    <row r="209" spans="1:10" ht="15">
      <c r="A209">
        <v>5003</v>
      </c>
      <c r="B209" t="s">
        <v>382</v>
      </c>
      <c r="C209" s="203">
        <f t="shared" si="9"/>
        <v>54.5</v>
      </c>
      <c r="D209" s="203">
        <f t="shared" si="9"/>
        <v>0</v>
      </c>
      <c r="E209" s="2">
        <f t="shared" si="9"/>
        <v>51.68</v>
      </c>
      <c r="F209" s="2">
        <f t="shared" si="9"/>
        <v>23.7</v>
      </c>
      <c r="G209" s="2">
        <f t="shared" si="9"/>
        <v>14.85</v>
      </c>
      <c r="H209" s="2">
        <f t="shared" si="9"/>
        <v>0</v>
      </c>
      <c r="I209" s="2">
        <f t="shared" si="9"/>
        <v>20.55</v>
      </c>
      <c r="J209">
        <v>1</v>
      </c>
    </row>
    <row r="210" spans="1:10" ht="15">
      <c r="A210">
        <v>5004</v>
      </c>
      <c r="B210" t="s">
        <v>383</v>
      </c>
      <c r="C210" s="203">
        <f t="shared" si="9"/>
        <v>54.5</v>
      </c>
      <c r="D210" s="203">
        <f t="shared" si="9"/>
        <v>0</v>
      </c>
      <c r="E210" s="2">
        <f t="shared" si="9"/>
        <v>51.68</v>
      </c>
      <c r="F210" s="2">
        <f t="shared" si="9"/>
        <v>23.7</v>
      </c>
      <c r="G210" s="2">
        <f t="shared" si="9"/>
        <v>14.85</v>
      </c>
      <c r="H210" s="2">
        <f t="shared" si="9"/>
        <v>0</v>
      </c>
      <c r="I210" s="2">
        <f t="shared" si="9"/>
        <v>20.55</v>
      </c>
      <c r="J210">
        <v>1</v>
      </c>
    </row>
    <row r="211" spans="1:10" ht="15">
      <c r="A211">
        <v>5005</v>
      </c>
      <c r="B211" t="s">
        <v>384</v>
      </c>
      <c r="C211" s="203">
        <f t="shared" si="9"/>
        <v>54.5</v>
      </c>
      <c r="D211" s="203">
        <f t="shared" si="9"/>
        <v>0</v>
      </c>
      <c r="E211" s="2">
        <f t="shared" si="9"/>
        <v>51.68</v>
      </c>
      <c r="F211" s="2">
        <f t="shared" si="9"/>
        <v>23.7</v>
      </c>
      <c r="G211" s="2">
        <f t="shared" si="9"/>
        <v>14.85</v>
      </c>
      <c r="H211" s="2">
        <f t="shared" si="9"/>
        <v>0</v>
      </c>
      <c r="I211" s="2">
        <f t="shared" si="9"/>
        <v>20.55</v>
      </c>
      <c r="J211">
        <v>1</v>
      </c>
    </row>
    <row r="212" spans="1:10" ht="15">
      <c r="A212">
        <v>5006</v>
      </c>
      <c r="B212" t="s">
        <v>385</v>
      </c>
      <c r="C212" s="203">
        <f t="shared" si="9"/>
        <v>54.5</v>
      </c>
      <c r="D212" s="203">
        <f t="shared" si="9"/>
        <v>0</v>
      </c>
      <c r="E212" s="2">
        <f t="shared" si="9"/>
        <v>51.68</v>
      </c>
      <c r="F212" s="2">
        <f t="shared" si="9"/>
        <v>23.7</v>
      </c>
      <c r="G212" s="2">
        <f t="shared" si="9"/>
        <v>14.85</v>
      </c>
      <c r="H212" s="2">
        <f t="shared" si="9"/>
        <v>0</v>
      </c>
      <c r="I212" s="2">
        <f t="shared" si="9"/>
        <v>20.55</v>
      </c>
      <c r="J212">
        <v>1</v>
      </c>
    </row>
    <row r="213" spans="1:10" ht="15">
      <c r="A213">
        <v>5007</v>
      </c>
      <c r="B213" t="s">
        <v>386</v>
      </c>
      <c r="C213" s="203">
        <f t="shared" si="9"/>
        <v>54.5</v>
      </c>
      <c r="D213" s="203">
        <f t="shared" si="9"/>
        <v>0</v>
      </c>
      <c r="E213" s="2">
        <f t="shared" si="9"/>
        <v>51.68</v>
      </c>
      <c r="F213" s="2">
        <f t="shared" si="9"/>
        <v>23.7</v>
      </c>
      <c r="G213" s="2">
        <f t="shared" si="9"/>
        <v>14.85</v>
      </c>
      <c r="H213" s="2">
        <f t="shared" si="9"/>
        <v>0</v>
      </c>
      <c r="I213" s="2">
        <f t="shared" si="9"/>
        <v>20.55</v>
      </c>
      <c r="J213">
        <v>1</v>
      </c>
    </row>
    <row r="214" spans="1:10" ht="15">
      <c r="A214">
        <v>5008</v>
      </c>
      <c r="B214" t="s">
        <v>387</v>
      </c>
      <c r="C214" s="203">
        <f t="shared" si="9"/>
        <v>54.5</v>
      </c>
      <c r="D214" s="203">
        <f t="shared" si="9"/>
        <v>0</v>
      </c>
      <c r="E214" s="2">
        <f t="shared" si="9"/>
        <v>51.68</v>
      </c>
      <c r="F214" s="2">
        <f t="shared" si="9"/>
        <v>23.7</v>
      </c>
      <c r="G214" s="2">
        <f t="shared" si="9"/>
        <v>14.85</v>
      </c>
      <c r="H214" s="2">
        <f t="shared" si="9"/>
        <v>0</v>
      </c>
      <c r="I214" s="2">
        <f t="shared" si="9"/>
        <v>20.55</v>
      </c>
      <c r="J214">
        <v>1</v>
      </c>
    </row>
    <row r="215" spans="1:10" ht="15">
      <c r="A215">
        <v>5009</v>
      </c>
      <c r="B215" t="s">
        <v>388</v>
      </c>
      <c r="C215" s="203">
        <f t="shared" si="9"/>
        <v>50.1</v>
      </c>
      <c r="D215" s="203">
        <f t="shared" si="9"/>
        <v>38.04</v>
      </c>
      <c r="E215" s="2">
        <f t="shared" si="9"/>
        <v>36.96</v>
      </c>
      <c r="F215" s="2">
        <f t="shared" si="9"/>
        <v>21.15</v>
      </c>
      <c r="G215" s="2">
        <f t="shared" si="9"/>
        <v>13.79</v>
      </c>
      <c r="H215" s="2">
        <f t="shared" si="9"/>
        <v>12.13</v>
      </c>
      <c r="I215" s="2">
        <f t="shared" si="9"/>
        <v>38.94</v>
      </c>
      <c r="J215">
        <v>2</v>
      </c>
    </row>
    <row r="216" spans="1:10" ht="15">
      <c r="A216">
        <v>5010</v>
      </c>
      <c r="B216" t="s">
        <v>389</v>
      </c>
      <c r="C216" s="203">
        <f t="shared" si="9"/>
        <v>54.5</v>
      </c>
      <c r="D216" s="203">
        <f t="shared" si="9"/>
        <v>0</v>
      </c>
      <c r="E216" s="2">
        <f t="shared" si="9"/>
        <v>51.68</v>
      </c>
      <c r="F216" s="2">
        <f t="shared" si="9"/>
        <v>23.7</v>
      </c>
      <c r="G216" s="2">
        <f t="shared" si="9"/>
        <v>14.85</v>
      </c>
      <c r="H216" s="2">
        <f t="shared" si="9"/>
        <v>0</v>
      </c>
      <c r="I216" s="2">
        <f t="shared" si="9"/>
        <v>20.55</v>
      </c>
      <c r="J216">
        <v>1</v>
      </c>
    </row>
    <row r="217" spans="1:10" ht="15">
      <c r="A217">
        <v>6000</v>
      </c>
      <c r="B217" t="s">
        <v>390</v>
      </c>
      <c r="C217" s="203">
        <f t="shared" si="9"/>
        <v>58.74</v>
      </c>
      <c r="D217" s="203">
        <f t="shared" si="9"/>
        <v>0</v>
      </c>
      <c r="E217" s="2">
        <f t="shared" si="9"/>
        <v>56.08</v>
      </c>
      <c r="F217" s="2">
        <f t="shared" si="9"/>
        <v>32.33</v>
      </c>
      <c r="G217" s="2">
        <f t="shared" si="9"/>
        <v>0</v>
      </c>
      <c r="H217" s="2">
        <f t="shared" si="9"/>
        <v>0</v>
      </c>
      <c r="I217" s="2">
        <f t="shared" si="9"/>
        <v>14.74</v>
      </c>
      <c r="J217">
        <v>0</v>
      </c>
    </row>
    <row r="218" spans="1:10" ht="15">
      <c r="A218">
        <v>6001</v>
      </c>
      <c r="B218" t="s">
        <v>590</v>
      </c>
      <c r="C218" s="203">
        <f t="shared" si="9"/>
        <v>54.5</v>
      </c>
      <c r="D218" s="203">
        <f t="shared" si="9"/>
        <v>0</v>
      </c>
      <c r="E218" s="2">
        <f t="shared" si="9"/>
        <v>51.68</v>
      </c>
      <c r="F218" s="2">
        <f t="shared" si="9"/>
        <v>23.7</v>
      </c>
      <c r="G218" s="2">
        <f t="shared" si="9"/>
        <v>14.85</v>
      </c>
      <c r="H218" s="2">
        <f t="shared" si="9"/>
        <v>0</v>
      </c>
      <c r="I218" s="2">
        <f t="shared" si="9"/>
        <v>20.55</v>
      </c>
      <c r="J218">
        <v>1</v>
      </c>
    </row>
    <row r="219" spans="1:10" ht="15">
      <c r="A219">
        <v>6002</v>
      </c>
      <c r="B219" t="s">
        <v>391</v>
      </c>
      <c r="C219" s="203">
        <f t="shared" si="9"/>
        <v>54.5</v>
      </c>
      <c r="D219" s="203">
        <f t="shared" si="9"/>
        <v>0</v>
      </c>
      <c r="E219" s="2">
        <f t="shared" si="9"/>
        <v>51.68</v>
      </c>
      <c r="F219" s="2">
        <f aca="true" t="shared" si="10" ref="D219:I225">VLOOKUP($J219,$L$118:$S$120,F$115,FALSE)</f>
        <v>23.7</v>
      </c>
      <c r="G219" s="2">
        <f t="shared" si="10"/>
        <v>14.85</v>
      </c>
      <c r="H219" s="2">
        <f t="shared" si="10"/>
        <v>0</v>
      </c>
      <c r="I219" s="2">
        <f t="shared" si="10"/>
        <v>20.55</v>
      </c>
      <c r="J219">
        <v>1</v>
      </c>
    </row>
    <row r="220" spans="1:10" ht="15">
      <c r="A220">
        <v>6003</v>
      </c>
      <c r="B220" t="s">
        <v>392</v>
      </c>
      <c r="C220" s="203">
        <f aca="true" t="shared" si="11" ref="C220:C225">VLOOKUP($J220,$L$118:$S$120,C$115,FALSE)</f>
        <v>50.1</v>
      </c>
      <c r="D220" s="203">
        <f t="shared" si="10"/>
        <v>38.04</v>
      </c>
      <c r="E220" s="2">
        <f t="shared" si="10"/>
        <v>36.96</v>
      </c>
      <c r="F220" s="2">
        <f t="shared" si="10"/>
        <v>21.15</v>
      </c>
      <c r="G220" s="2">
        <f t="shared" si="10"/>
        <v>13.79</v>
      </c>
      <c r="H220" s="2">
        <f t="shared" si="10"/>
        <v>12.13</v>
      </c>
      <c r="I220" s="2">
        <f t="shared" si="10"/>
        <v>38.94</v>
      </c>
      <c r="J220">
        <v>2</v>
      </c>
    </row>
    <row r="221" spans="1:10" ht="15">
      <c r="A221">
        <v>6004</v>
      </c>
      <c r="B221" t="s">
        <v>195</v>
      </c>
      <c r="C221" s="203">
        <f t="shared" si="11"/>
        <v>54.5</v>
      </c>
      <c r="D221" s="203">
        <f t="shared" si="10"/>
        <v>0</v>
      </c>
      <c r="E221" s="2">
        <f t="shared" si="10"/>
        <v>51.68</v>
      </c>
      <c r="F221" s="2">
        <f t="shared" si="10"/>
        <v>23.7</v>
      </c>
      <c r="G221" s="2">
        <f t="shared" si="10"/>
        <v>14.85</v>
      </c>
      <c r="H221" s="2">
        <f t="shared" si="10"/>
        <v>0</v>
      </c>
      <c r="I221" s="2">
        <f t="shared" si="10"/>
        <v>20.55</v>
      </c>
      <c r="J221">
        <v>1</v>
      </c>
    </row>
    <row r="222" spans="1:10" ht="15">
      <c r="A222">
        <v>6005</v>
      </c>
      <c r="B222" t="s">
        <v>393</v>
      </c>
      <c r="C222" s="203">
        <f t="shared" si="11"/>
        <v>54.5</v>
      </c>
      <c r="D222" s="203">
        <f t="shared" si="10"/>
        <v>0</v>
      </c>
      <c r="E222" s="2">
        <f t="shared" si="10"/>
        <v>51.68</v>
      </c>
      <c r="F222" s="2">
        <f t="shared" si="10"/>
        <v>23.7</v>
      </c>
      <c r="G222" s="2">
        <f t="shared" si="10"/>
        <v>14.85</v>
      </c>
      <c r="H222" s="2">
        <f t="shared" si="10"/>
        <v>0</v>
      </c>
      <c r="I222" s="2">
        <f t="shared" si="10"/>
        <v>20.55</v>
      </c>
      <c r="J222">
        <v>1</v>
      </c>
    </row>
    <row r="223" spans="1:10" ht="15">
      <c r="A223">
        <v>7000</v>
      </c>
      <c r="B223" t="s">
        <v>394</v>
      </c>
      <c r="C223" s="203">
        <f t="shared" si="11"/>
        <v>58.74</v>
      </c>
      <c r="D223" s="203">
        <f t="shared" si="10"/>
        <v>0</v>
      </c>
      <c r="E223" s="2">
        <f t="shared" si="10"/>
        <v>56.08</v>
      </c>
      <c r="F223" s="2">
        <f t="shared" si="10"/>
        <v>32.33</v>
      </c>
      <c r="G223" s="2">
        <f t="shared" si="10"/>
        <v>0</v>
      </c>
      <c r="H223" s="2">
        <f t="shared" si="10"/>
        <v>0</v>
      </c>
      <c r="I223" s="2">
        <f t="shared" si="10"/>
        <v>14.74</v>
      </c>
      <c r="J223">
        <v>0</v>
      </c>
    </row>
    <row r="224" spans="1:10" ht="15">
      <c r="A224">
        <v>7001</v>
      </c>
      <c r="B224" t="s">
        <v>395</v>
      </c>
      <c r="C224" s="203">
        <f t="shared" si="11"/>
        <v>54.5</v>
      </c>
      <c r="D224" s="203">
        <f t="shared" si="10"/>
        <v>0</v>
      </c>
      <c r="E224" s="2">
        <f t="shared" si="10"/>
        <v>51.68</v>
      </c>
      <c r="F224" s="2">
        <f t="shared" si="10"/>
        <v>23.7</v>
      </c>
      <c r="G224" s="2">
        <f t="shared" si="10"/>
        <v>14.85</v>
      </c>
      <c r="H224" s="2">
        <f t="shared" si="10"/>
        <v>0</v>
      </c>
      <c r="I224" s="2">
        <f t="shared" si="10"/>
        <v>20.55</v>
      </c>
      <c r="J224">
        <v>1</v>
      </c>
    </row>
    <row r="225" spans="1:10" ht="15">
      <c r="A225">
        <v>7002</v>
      </c>
      <c r="B225" t="s">
        <v>396</v>
      </c>
      <c r="C225" s="203">
        <f t="shared" si="11"/>
        <v>50.1</v>
      </c>
      <c r="D225" s="203">
        <f t="shared" si="10"/>
        <v>38.04</v>
      </c>
      <c r="E225" s="2">
        <f t="shared" si="10"/>
        <v>36.96</v>
      </c>
      <c r="F225" s="2">
        <f t="shared" si="10"/>
        <v>21.15</v>
      </c>
      <c r="G225" s="2">
        <f t="shared" si="10"/>
        <v>13.79</v>
      </c>
      <c r="H225" s="2">
        <f t="shared" si="10"/>
        <v>12.13</v>
      </c>
      <c r="I225" s="2">
        <f t="shared" si="10"/>
        <v>38.94</v>
      </c>
      <c r="J225">
        <v>2</v>
      </c>
    </row>
    <row r="226" spans="1:10" ht="15">
      <c r="A226">
        <v>8000</v>
      </c>
      <c r="B226" t="s">
        <v>397</v>
      </c>
      <c r="C226" s="203"/>
      <c r="D226" s="203"/>
      <c r="E226" s="2"/>
      <c r="F226" s="2"/>
      <c r="G226" s="2"/>
      <c r="H226" s="2"/>
      <c r="I226" s="2"/>
      <c r="J226">
        <v>0</v>
      </c>
    </row>
    <row r="227" spans="1:10" ht="15">
      <c r="A227">
        <v>8001</v>
      </c>
      <c r="B227" t="s">
        <v>398</v>
      </c>
      <c r="C227" s="203">
        <v>50.1</v>
      </c>
      <c r="D227" s="203">
        <v>38.04</v>
      </c>
      <c r="E227" s="2">
        <v>36.96</v>
      </c>
      <c r="F227" s="2">
        <v>21.15</v>
      </c>
      <c r="G227" s="2">
        <v>13.79</v>
      </c>
      <c r="H227" s="2">
        <v>12.13</v>
      </c>
      <c r="I227" s="2">
        <v>38.94</v>
      </c>
      <c r="J227">
        <v>2</v>
      </c>
    </row>
    <row r="228" spans="1:10" ht="15">
      <c r="A228">
        <v>9000</v>
      </c>
      <c r="B228" t="s">
        <v>399</v>
      </c>
      <c r="C228" s="203">
        <v>54.5</v>
      </c>
      <c r="D228" s="203">
        <v>0</v>
      </c>
      <c r="E228" s="2">
        <v>51.68</v>
      </c>
      <c r="F228" s="2">
        <v>23.7</v>
      </c>
      <c r="G228" s="2">
        <v>14.85</v>
      </c>
      <c r="H228" s="2">
        <v>0</v>
      </c>
      <c r="I228" s="2">
        <v>20.55</v>
      </c>
      <c r="J228">
        <v>0</v>
      </c>
    </row>
  </sheetData>
  <sheetProtection algorithmName="SHA-512" hashValue="R2sWzYOGy+1FoDLJVPEhq27Uodg+mretfGvSVpihPZQfjsVyFWaIkgJIP9bp64XKKq4bgAPVe3ybWspKe1IFdw==" saltValue="1PybN77m/POX6MVPzmtN3w==" spinCount="100000" sheet="1" selectLockedCells="1" selectUnlockedCells="1"/>
  <mergeCells count="11">
    <mergeCell ref="AR1:AU2"/>
    <mergeCell ref="AE2:AG2"/>
    <mergeCell ref="AH1:AI2"/>
    <mergeCell ref="AJ1:AM2"/>
    <mergeCell ref="AN1:AQ2"/>
    <mergeCell ref="H1:R1"/>
    <mergeCell ref="H2:M2"/>
    <mergeCell ref="N2:R2"/>
    <mergeCell ref="S1:AA1"/>
    <mergeCell ref="S2:W2"/>
    <mergeCell ref="X2:AB2"/>
  </mergeCells>
  <printOptions/>
  <pageMargins left="0.7" right="0.7" top="0.75" bottom="0.75" header="0.3" footer="0.3"/>
  <pageSetup orientation="portrait" paperSize="9"/>
  <tableParts>
    <tablePart r:id="rId2"/>
    <tablePart r:id="rId3"/>
    <tablePart r:id="rId7"/>
    <tablePart r:id="rId9"/>
    <tablePart r:id="rId6"/>
    <tablePart r:id="rId4"/>
    <tablePart r:id="rId5"/>
    <tablePart r:id="rId10"/>
    <tablePart r:id="rId1"/>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AFFCC"/>
  </sheetPr>
  <dimension ref="A1:NW148"/>
  <sheetViews>
    <sheetView showGridLines="0" workbookViewId="0" topLeftCell="A13">
      <selection activeCell="I51" sqref="I51"/>
    </sheetView>
  </sheetViews>
  <sheetFormatPr defaultColWidth="9.28125" defaultRowHeight="15"/>
  <cols>
    <col min="1" max="1" width="3.7109375" style="352" customWidth="1"/>
    <col min="2" max="2" width="3.421875" style="240" customWidth="1"/>
    <col min="3" max="3" width="35.421875" style="240" customWidth="1"/>
    <col min="4" max="4" width="16.00390625" style="240" customWidth="1"/>
    <col min="5" max="5" width="11.421875" style="240" customWidth="1"/>
    <col min="6" max="6" width="12.421875" style="240" customWidth="1"/>
    <col min="7" max="7" width="0.42578125" style="240" customWidth="1"/>
    <col min="8" max="8" width="35.57421875" style="240" customWidth="1"/>
    <col min="9" max="9" width="12.421875" style="240" customWidth="1"/>
    <col min="10" max="10" width="11.421875" style="240" customWidth="1"/>
    <col min="11" max="11" width="14.140625" style="240" customWidth="1"/>
    <col min="12" max="12" width="12.421875" style="240" customWidth="1"/>
    <col min="13" max="13" width="0.42578125" style="240" customWidth="1"/>
    <col min="14" max="14" width="25.421875" style="240" customWidth="1"/>
    <col min="15" max="15" width="12.421875" style="240" customWidth="1"/>
    <col min="16" max="16" width="11.421875" style="240" customWidth="1"/>
    <col min="17" max="17" width="12.421875" style="240" customWidth="1"/>
    <col min="18" max="18" width="0.42578125" style="240" customWidth="1"/>
    <col min="19" max="19" width="25.421875" style="240" customWidth="1"/>
    <col min="20" max="20" width="12.421875" style="240" customWidth="1"/>
    <col min="21" max="21" width="13.421875" style="240" customWidth="1"/>
    <col min="22" max="22" width="14.140625" style="240" customWidth="1"/>
    <col min="23" max="23" width="12.421875" style="240" customWidth="1"/>
    <col min="24" max="24" width="9.28125" style="240" customWidth="1"/>
    <col min="25" max="25" width="42.421875" style="240" customWidth="1"/>
    <col min="26" max="26" width="15.421875" style="240" customWidth="1"/>
    <col min="27" max="27" width="9.28125" style="240" customWidth="1"/>
    <col min="28" max="29" width="4.421875" style="240" customWidth="1"/>
    <col min="30" max="30" width="24.421875" style="240" customWidth="1"/>
    <col min="31" max="32" width="9.28125" style="240" customWidth="1"/>
    <col min="33" max="33" width="3.421875" style="240" customWidth="1"/>
    <col min="34" max="34" width="4.421875" style="240" customWidth="1"/>
    <col min="35" max="35" width="1.421875" style="240" customWidth="1"/>
    <col min="36" max="36" width="97.421875" style="240" customWidth="1"/>
    <col min="37" max="37" width="11.00390625" style="240" customWidth="1"/>
    <col min="38" max="38" width="9.421875" style="240" customWidth="1"/>
    <col min="39" max="39" width="1.421875" style="240" customWidth="1"/>
    <col min="40" max="40" width="98.00390625" style="240" customWidth="1"/>
    <col min="41" max="41" width="20.421875" style="240" customWidth="1"/>
    <col min="42" max="42" width="1.421875" style="240" customWidth="1"/>
    <col min="43" max="43" width="42.7109375" style="240" customWidth="1"/>
    <col min="44" max="44" width="20.421875" style="240" customWidth="1"/>
    <col min="45" max="45" width="1.421875" style="240" customWidth="1"/>
    <col min="46" max="16384" width="9.28125" style="240" customWidth="1"/>
  </cols>
  <sheetData>
    <row r="1" spans="1:36" ht="25.05" customHeight="1" thickBot="1">
      <c r="A1" s="355"/>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row>
    <row r="2" spans="1:36" ht="30" customHeight="1">
      <c r="A2" s="355"/>
      <c r="B2" s="370"/>
      <c r="C2" s="427" t="s">
        <v>530</v>
      </c>
      <c r="D2" s="372"/>
      <c r="E2" s="372"/>
      <c r="F2" s="372"/>
      <c r="G2" s="372"/>
      <c r="H2" s="372"/>
      <c r="I2" s="372"/>
      <c r="J2" s="372"/>
      <c r="K2" s="372"/>
      <c r="L2" s="372"/>
      <c r="M2" s="372"/>
      <c r="N2" s="372"/>
      <c r="O2" s="372"/>
      <c r="P2" s="372"/>
      <c r="Q2" s="372"/>
      <c r="R2" s="372"/>
      <c r="S2" s="372"/>
      <c r="T2" s="372"/>
      <c r="U2" s="372"/>
      <c r="V2" s="372"/>
      <c r="W2" s="372"/>
      <c r="X2" s="373"/>
      <c r="Y2" s="355"/>
      <c r="Z2" s="355"/>
      <c r="AA2" s="355"/>
      <c r="AB2" s="355"/>
      <c r="AC2" s="355"/>
      <c r="AD2" s="355"/>
      <c r="AE2" s="355"/>
      <c r="AF2" s="355"/>
      <c r="AG2" s="355"/>
      <c r="AH2" s="355"/>
      <c r="AI2" s="355"/>
      <c r="AJ2" s="355"/>
    </row>
    <row r="3" spans="1:36" ht="15">
      <c r="A3" s="355"/>
      <c r="B3" s="374"/>
      <c r="X3" s="383"/>
      <c r="Y3" s="355"/>
      <c r="Z3" s="355"/>
      <c r="AA3" s="355"/>
      <c r="AB3" s="355"/>
      <c r="AC3" s="355"/>
      <c r="AD3" s="355"/>
      <c r="AE3" s="355"/>
      <c r="AF3" s="355"/>
      <c r="AG3" s="355"/>
      <c r="AH3" s="355"/>
      <c r="AI3" s="355"/>
      <c r="AJ3" s="355"/>
    </row>
    <row r="4" spans="1:36" ht="15.6">
      <c r="A4" s="355"/>
      <c r="B4" s="375"/>
      <c r="C4" s="363" t="s">
        <v>625</v>
      </c>
      <c r="X4" s="383"/>
      <c r="Y4" s="355"/>
      <c r="Z4" s="355"/>
      <c r="AA4" s="355"/>
      <c r="AB4" s="355"/>
      <c r="AC4" s="355"/>
      <c r="AD4" s="355"/>
      <c r="AE4" s="355"/>
      <c r="AF4" s="355"/>
      <c r="AG4" s="355"/>
      <c r="AH4" s="355"/>
      <c r="AI4" s="355"/>
      <c r="AJ4" s="355"/>
    </row>
    <row r="5" spans="1:36" ht="15.6">
      <c r="A5" s="355"/>
      <c r="B5" s="375"/>
      <c r="C5" s="363"/>
      <c r="D5" s="361"/>
      <c r="E5" s="384" t="s">
        <v>562</v>
      </c>
      <c r="F5" s="384" t="s">
        <v>110</v>
      </c>
      <c r="G5" s="361"/>
      <c r="H5" s="363" t="s">
        <v>154</v>
      </c>
      <c r="I5" s="361"/>
      <c r="J5" s="363" t="s">
        <v>215</v>
      </c>
      <c r="K5" s="361"/>
      <c r="L5" s="361"/>
      <c r="M5" s="361"/>
      <c r="N5" s="362" t="s">
        <v>150</v>
      </c>
      <c r="O5" s="385" t="s">
        <v>214</v>
      </c>
      <c r="P5" s="361"/>
      <c r="Q5" s="361"/>
      <c r="R5" s="361"/>
      <c r="S5" s="363"/>
      <c r="U5" s="363"/>
      <c r="V5" s="363"/>
      <c r="W5" s="363"/>
      <c r="X5" s="383"/>
      <c r="Y5" s="355"/>
      <c r="Z5" s="355"/>
      <c r="AA5" s="355"/>
      <c r="AB5" s="355"/>
      <c r="AC5" s="355"/>
      <c r="AD5" s="355"/>
      <c r="AE5" s="355"/>
      <c r="AF5" s="355"/>
      <c r="AG5" s="355"/>
      <c r="AH5" s="355"/>
      <c r="AI5" s="355"/>
      <c r="AJ5" s="355"/>
    </row>
    <row r="6" spans="1:36" s="344" customFormat="1" ht="15.6">
      <c r="A6" s="356"/>
      <c r="B6" s="376"/>
      <c r="C6" s="364" t="s">
        <v>634</v>
      </c>
      <c r="E6" s="431">
        <v>0</v>
      </c>
      <c r="F6" s="431">
        <v>0</v>
      </c>
      <c r="G6" s="364"/>
      <c r="H6" s="364" t="s">
        <v>666</v>
      </c>
      <c r="I6" s="364"/>
      <c r="J6" s="431" t="s">
        <v>156</v>
      </c>
      <c r="K6" s="364"/>
      <c r="L6" s="364"/>
      <c r="M6" s="364"/>
      <c r="N6" s="345" t="s">
        <v>150</v>
      </c>
      <c r="O6" s="443">
        <v>0.07</v>
      </c>
      <c r="P6" s="364"/>
      <c r="Q6" s="364"/>
      <c r="R6" s="364"/>
      <c r="S6" s="364"/>
      <c r="U6" s="369"/>
      <c r="V6" s="364"/>
      <c r="W6" s="364"/>
      <c r="X6" s="377"/>
      <c r="Y6" s="356"/>
      <c r="Z6" s="356"/>
      <c r="AA6" s="356"/>
      <c r="AB6" s="356"/>
      <c r="AC6" s="356"/>
      <c r="AD6" s="356"/>
      <c r="AE6" s="356"/>
      <c r="AF6" s="356"/>
      <c r="AG6" s="356"/>
      <c r="AH6" s="356"/>
      <c r="AI6" s="356"/>
      <c r="AJ6" s="356"/>
    </row>
    <row r="7" spans="1:36" s="344" customFormat="1" ht="15.6">
      <c r="A7" s="356"/>
      <c r="B7" s="376"/>
      <c r="C7" s="364" t="s">
        <v>636</v>
      </c>
      <c r="E7" s="431">
        <v>0</v>
      </c>
      <c r="F7" s="431">
        <v>0</v>
      </c>
      <c r="G7" s="364"/>
      <c r="H7" s="364" t="s">
        <v>667</v>
      </c>
      <c r="I7" s="364"/>
      <c r="J7" s="431" t="s">
        <v>156</v>
      </c>
      <c r="K7" s="364"/>
      <c r="L7" s="364"/>
      <c r="M7" s="364"/>
      <c r="N7" s="364"/>
      <c r="O7" s="364"/>
      <c r="P7" s="364"/>
      <c r="Q7" s="364"/>
      <c r="R7" s="364"/>
      <c r="S7" s="364"/>
      <c r="T7" s="364"/>
      <c r="U7" s="364"/>
      <c r="V7" s="364"/>
      <c r="W7" s="364"/>
      <c r="X7" s="377"/>
      <c r="Y7" s="356"/>
      <c r="Z7" s="356"/>
      <c r="AA7" s="356"/>
      <c r="AB7" s="356"/>
      <c r="AC7" s="356"/>
      <c r="AD7" s="356"/>
      <c r="AE7" s="356"/>
      <c r="AF7" s="356"/>
      <c r="AG7" s="356"/>
      <c r="AH7" s="356"/>
      <c r="AI7" s="356"/>
      <c r="AJ7" s="356"/>
    </row>
    <row r="8" spans="1:36" s="344" customFormat="1" ht="15.6">
      <c r="A8" s="356"/>
      <c r="B8" s="376"/>
      <c r="C8" s="364" t="s">
        <v>638</v>
      </c>
      <c r="E8" s="431">
        <v>0</v>
      </c>
      <c r="F8" s="431">
        <v>0</v>
      </c>
      <c r="G8" s="364"/>
      <c r="H8" s="364"/>
      <c r="I8" s="364"/>
      <c r="J8" s="364"/>
      <c r="K8" s="364"/>
      <c r="L8" s="364"/>
      <c r="M8" s="364"/>
      <c r="N8" s="364"/>
      <c r="O8" s="364"/>
      <c r="P8" s="364"/>
      <c r="Q8" s="364"/>
      <c r="R8" s="364"/>
      <c r="S8" s="364"/>
      <c r="T8" s="364"/>
      <c r="U8" s="364"/>
      <c r="V8" s="364"/>
      <c r="W8" s="364"/>
      <c r="X8" s="377"/>
      <c r="Y8" s="356"/>
      <c r="Z8" s="356"/>
      <c r="AA8" s="356"/>
      <c r="AB8" s="356"/>
      <c r="AC8" s="356"/>
      <c r="AD8" s="356"/>
      <c r="AE8" s="356"/>
      <c r="AF8" s="356"/>
      <c r="AG8" s="356"/>
      <c r="AH8" s="356"/>
      <c r="AI8" s="356"/>
      <c r="AJ8" s="356"/>
    </row>
    <row r="9" spans="1:36" s="344" customFormat="1" ht="15.6">
      <c r="A9" s="356"/>
      <c r="B9" s="376"/>
      <c r="C9" s="364" t="s">
        <v>635</v>
      </c>
      <c r="E9" s="430">
        <v>0</v>
      </c>
      <c r="F9" s="431">
        <v>0</v>
      </c>
      <c r="G9" s="364"/>
      <c r="H9" s="364"/>
      <c r="I9" s="364"/>
      <c r="J9" s="364"/>
      <c r="K9" s="364"/>
      <c r="L9" s="364"/>
      <c r="M9" s="364"/>
      <c r="N9" s="364"/>
      <c r="O9" s="364"/>
      <c r="P9" s="364"/>
      <c r="Q9" s="364"/>
      <c r="R9" s="364"/>
      <c r="S9" s="364"/>
      <c r="T9" s="364"/>
      <c r="U9" s="364"/>
      <c r="V9" s="364"/>
      <c r="W9" s="364"/>
      <c r="X9" s="377"/>
      <c r="Y9" s="356"/>
      <c r="Z9" s="356"/>
      <c r="AA9" s="356"/>
      <c r="AB9" s="356"/>
      <c r="AC9" s="356"/>
      <c r="AD9" s="356"/>
      <c r="AE9" s="356"/>
      <c r="AF9" s="356"/>
      <c r="AG9" s="356"/>
      <c r="AH9" s="356"/>
      <c r="AI9" s="356"/>
      <c r="AJ9" s="356"/>
    </row>
    <row r="10" spans="1:36" s="344" customFormat="1" ht="15.6">
      <c r="A10" s="356"/>
      <c r="B10" s="376"/>
      <c r="C10" s="364" t="s">
        <v>637</v>
      </c>
      <c r="E10" s="431">
        <v>0</v>
      </c>
      <c r="F10" s="431">
        <v>0</v>
      </c>
      <c r="G10" s="364"/>
      <c r="H10" s="362" t="s">
        <v>578</v>
      </c>
      <c r="I10" s="364"/>
      <c r="J10" s="362" t="s">
        <v>207</v>
      </c>
      <c r="K10" s="364"/>
      <c r="L10" s="364"/>
      <c r="M10" s="364"/>
      <c r="N10" s="362" t="s">
        <v>548</v>
      </c>
      <c r="O10" s="437" t="s">
        <v>214</v>
      </c>
      <c r="P10" s="364"/>
      <c r="Q10" s="364"/>
      <c r="R10" s="364"/>
      <c r="S10" s="362" t="s">
        <v>251</v>
      </c>
      <c r="T10" s="364"/>
      <c r="U10" s="362" t="s">
        <v>551</v>
      </c>
      <c r="V10" s="364"/>
      <c r="W10" s="364"/>
      <c r="X10" s="377"/>
      <c r="Y10" s="356"/>
      <c r="Z10" s="356"/>
      <c r="AA10" s="356"/>
      <c r="AB10" s="356"/>
      <c r="AC10" s="356"/>
      <c r="AD10" s="356"/>
      <c r="AE10" s="356"/>
      <c r="AF10" s="356"/>
      <c r="AG10" s="356"/>
      <c r="AH10" s="356"/>
      <c r="AI10" s="356"/>
      <c r="AJ10" s="356"/>
    </row>
    <row r="11" spans="1:36" s="344" customFormat="1" ht="16.5" customHeight="1">
      <c r="A11" s="356"/>
      <c r="B11" s="376"/>
      <c r="C11" s="364" t="s">
        <v>404</v>
      </c>
      <c r="E11" s="431">
        <v>0</v>
      </c>
      <c r="F11" s="431">
        <v>0</v>
      </c>
      <c r="G11" s="364"/>
      <c r="H11" s="364" t="s">
        <v>579</v>
      </c>
      <c r="I11" s="364"/>
      <c r="J11" s="431">
        <v>0</v>
      </c>
      <c r="K11" s="364"/>
      <c r="L11" s="364"/>
      <c r="M11" s="364"/>
      <c r="N11" s="364" t="s">
        <v>548</v>
      </c>
      <c r="O11" s="469">
        <v>0</v>
      </c>
      <c r="P11" s="364"/>
      <c r="Q11" s="364"/>
      <c r="R11" s="364"/>
      <c r="S11" s="364" t="s">
        <v>252</v>
      </c>
      <c r="T11" s="364"/>
      <c r="U11" s="439">
        <v>0</v>
      </c>
      <c r="V11" s="364"/>
      <c r="W11" s="364"/>
      <c r="X11" s="377"/>
      <c r="Y11" s="356"/>
      <c r="Z11" s="356"/>
      <c r="AA11" s="356"/>
      <c r="AB11" s="356"/>
      <c r="AC11" s="356"/>
      <c r="AD11" s="356"/>
      <c r="AE11" s="356"/>
      <c r="AF11" s="356"/>
      <c r="AG11" s="356"/>
      <c r="AH11" s="356"/>
      <c r="AI11" s="356"/>
      <c r="AJ11" s="356"/>
    </row>
    <row r="12" spans="1:36" s="344" customFormat="1" ht="15.75" customHeight="1">
      <c r="A12" s="356"/>
      <c r="B12" s="376"/>
      <c r="C12" s="471" t="str">
        <f>IF(AND(SUM(E6:E11)&gt;SUM(D18:D22,I18:I22),SUM(F6:F11)&gt;SUM(O18:O22,T18:T22)),"Note: number of specialised tenant allocations exceeds available number of dwellings in both affordable and social housing",IF(AND(SUM(E6:E11)&gt;SUM(D18:D22,I18:I22),SUM(F6:F11)&lt;=SUM(O18:O22,T18:T22)),"Note: number of specialised tenant allocations exceeds available number of dwellings in affordable housing",IF(AND(SUM(E6:E11)&lt;=SUM(D18:D22,I18:I22),SUM(F6:F11)&gt;SUM(O18:O22,T18:T22)),"Note: number of specialised tenant allocations exceeds available number of dwellings in social housing","")))</f>
        <v/>
      </c>
      <c r="D12" s="471"/>
      <c r="E12" s="471"/>
      <c r="F12" s="471"/>
      <c r="G12" s="364"/>
      <c r="H12" s="364"/>
      <c r="I12" s="364"/>
      <c r="J12" s="364"/>
      <c r="K12" s="364"/>
      <c r="L12" s="364"/>
      <c r="M12" s="364"/>
      <c r="P12" s="364"/>
      <c r="Q12" s="364"/>
      <c r="R12" s="364"/>
      <c r="S12" s="364"/>
      <c r="T12" s="364"/>
      <c r="U12" s="364"/>
      <c r="V12" s="364"/>
      <c r="W12" s="364"/>
      <c r="X12" s="377"/>
      <c r="Y12" s="356"/>
      <c r="Z12" s="356"/>
      <c r="AA12" s="356"/>
      <c r="AB12" s="356"/>
      <c r="AC12" s="356"/>
      <c r="AD12" s="356"/>
      <c r="AE12" s="356"/>
      <c r="AF12" s="356"/>
      <c r="AG12" s="356"/>
      <c r="AH12" s="356"/>
      <c r="AI12" s="356"/>
      <c r="AJ12" s="356"/>
    </row>
    <row r="13" spans="1:36" s="344" customFormat="1" ht="15.6">
      <c r="A13" s="356"/>
      <c r="B13" s="376"/>
      <c r="C13" s="471"/>
      <c r="D13" s="471"/>
      <c r="E13" s="471"/>
      <c r="F13" s="471"/>
      <c r="G13" s="364"/>
      <c r="H13" s="364"/>
      <c r="I13" s="364"/>
      <c r="J13" s="364"/>
      <c r="K13" s="364"/>
      <c r="L13" s="364"/>
      <c r="M13" s="364"/>
      <c r="N13" s="364"/>
      <c r="O13" s="364"/>
      <c r="P13" s="364"/>
      <c r="Q13" s="364"/>
      <c r="R13" s="364"/>
      <c r="S13" s="364"/>
      <c r="T13" s="364"/>
      <c r="U13" s="364"/>
      <c r="V13" s="364"/>
      <c r="W13" s="364"/>
      <c r="X13" s="377"/>
      <c r="Y13" s="356"/>
      <c r="Z13" s="356"/>
      <c r="AA13" s="356"/>
      <c r="AB13" s="356"/>
      <c r="AC13" s="356"/>
      <c r="AD13" s="356"/>
      <c r="AE13" s="356"/>
      <c r="AF13" s="356"/>
      <c r="AG13" s="356"/>
      <c r="AH13" s="356"/>
      <c r="AI13" s="356"/>
      <c r="AJ13" s="356"/>
    </row>
    <row r="14" spans="1:36" s="344" customFormat="1" ht="15.6">
      <c r="A14" s="356"/>
      <c r="B14" s="386"/>
      <c r="C14" s="362"/>
      <c r="D14" s="364"/>
      <c r="E14" s="364"/>
      <c r="F14" s="364"/>
      <c r="G14" s="364"/>
      <c r="H14" s="364"/>
      <c r="I14" s="364"/>
      <c r="J14" s="364"/>
      <c r="K14" s="364"/>
      <c r="L14" s="364"/>
      <c r="M14" s="364"/>
      <c r="N14" s="364"/>
      <c r="O14" s="364"/>
      <c r="P14" s="364"/>
      <c r="Q14" s="364"/>
      <c r="R14" s="364"/>
      <c r="S14" s="364"/>
      <c r="T14" s="364"/>
      <c r="U14" s="364"/>
      <c r="V14" s="364"/>
      <c r="W14" s="364"/>
      <c r="X14" s="377"/>
      <c r="Y14" s="356"/>
      <c r="Z14" s="356"/>
      <c r="AA14" s="356"/>
      <c r="AB14" s="356"/>
      <c r="AC14" s="356"/>
      <c r="AD14" s="356"/>
      <c r="AE14" s="356"/>
      <c r="AF14" s="356"/>
      <c r="AG14" s="356"/>
      <c r="AH14" s="356"/>
      <c r="AI14" s="356"/>
      <c r="AJ14" s="356"/>
    </row>
    <row r="15" spans="1:36" s="344" customFormat="1" ht="30" customHeight="1">
      <c r="A15" s="356"/>
      <c r="B15" s="376"/>
      <c r="C15" s="362" t="s">
        <v>626</v>
      </c>
      <c r="D15" s="364"/>
      <c r="E15" s="364"/>
      <c r="F15" s="362"/>
      <c r="G15" s="364"/>
      <c r="H15" s="364"/>
      <c r="I15" s="364"/>
      <c r="J15" s="364"/>
      <c r="K15" s="364"/>
      <c r="L15" s="364"/>
      <c r="M15" s="364"/>
      <c r="N15" s="364"/>
      <c r="O15" s="364"/>
      <c r="P15" s="364"/>
      <c r="Q15" s="364"/>
      <c r="R15" s="364"/>
      <c r="S15" s="364"/>
      <c r="T15" s="364"/>
      <c r="U15" s="364"/>
      <c r="V15" s="364"/>
      <c r="W15" s="364"/>
      <c r="X15" s="377"/>
      <c r="Y15" s="356"/>
      <c r="Z15" s="356"/>
      <c r="AA15" s="356"/>
      <c r="AB15" s="356"/>
      <c r="AC15" s="356"/>
      <c r="AD15" s="356"/>
      <c r="AE15" s="356"/>
      <c r="AF15" s="356"/>
      <c r="AG15" s="356"/>
      <c r="AH15" s="356"/>
      <c r="AI15" s="356"/>
      <c r="AJ15" s="356"/>
    </row>
    <row r="16" spans="1:36" s="344" customFormat="1" ht="28.5" customHeight="1">
      <c r="A16" s="356"/>
      <c r="B16" s="375"/>
      <c r="C16" s="362" t="s">
        <v>2</v>
      </c>
      <c r="D16" s="362"/>
      <c r="E16" s="362"/>
      <c r="F16" s="362"/>
      <c r="G16" s="362"/>
      <c r="H16" s="362" t="s">
        <v>2</v>
      </c>
      <c r="I16" s="362"/>
      <c r="J16" s="362"/>
      <c r="K16" s="362"/>
      <c r="L16" s="362"/>
      <c r="M16" s="362"/>
      <c r="N16" s="362" t="s">
        <v>3</v>
      </c>
      <c r="O16" s="362"/>
      <c r="P16" s="362"/>
      <c r="Q16" s="362"/>
      <c r="R16" s="362"/>
      <c r="S16" s="362" t="s">
        <v>3</v>
      </c>
      <c r="T16" s="364"/>
      <c r="U16" s="364"/>
      <c r="V16" s="364"/>
      <c r="W16" s="364"/>
      <c r="X16" s="383"/>
      <c r="Y16" s="356"/>
      <c r="Z16" s="356"/>
      <c r="AA16" s="356"/>
      <c r="AB16" s="356"/>
      <c r="AC16" s="356"/>
      <c r="AD16" s="356"/>
      <c r="AE16" s="356"/>
      <c r="AF16" s="356"/>
      <c r="AG16" s="356"/>
      <c r="AH16" s="356"/>
      <c r="AI16" s="356"/>
      <c r="AJ16" s="356"/>
    </row>
    <row r="17" spans="1:36" s="347" customFormat="1" ht="46.8">
      <c r="A17" s="357"/>
      <c r="B17" s="376"/>
      <c r="C17" s="387" t="s">
        <v>4</v>
      </c>
      <c r="D17" s="387" t="s">
        <v>546</v>
      </c>
      <c r="E17" s="387" t="s">
        <v>208</v>
      </c>
      <c r="F17" s="387" t="s">
        <v>547</v>
      </c>
      <c r="G17" s="387"/>
      <c r="H17" s="387" t="s">
        <v>5</v>
      </c>
      <c r="I17" s="387" t="s">
        <v>546</v>
      </c>
      <c r="J17" s="387" t="s">
        <v>208</v>
      </c>
      <c r="K17" s="387" t="s">
        <v>550</v>
      </c>
      <c r="L17" s="387" t="s">
        <v>547</v>
      </c>
      <c r="M17" s="387"/>
      <c r="N17" s="387" t="s">
        <v>4</v>
      </c>
      <c r="O17" s="387" t="s">
        <v>546</v>
      </c>
      <c r="P17" s="387" t="s">
        <v>208</v>
      </c>
      <c r="Q17" s="387" t="s">
        <v>547</v>
      </c>
      <c r="R17" s="387"/>
      <c r="S17" s="387" t="s">
        <v>5</v>
      </c>
      <c r="T17" s="387" t="s">
        <v>546</v>
      </c>
      <c r="U17" s="387" t="s">
        <v>208</v>
      </c>
      <c r="V17" s="387" t="s">
        <v>550</v>
      </c>
      <c r="W17" s="387" t="s">
        <v>547</v>
      </c>
      <c r="X17" s="377"/>
      <c r="Y17" s="357"/>
      <c r="Z17" s="357"/>
      <c r="AA17" s="357"/>
      <c r="AB17" s="357"/>
      <c r="AC17" s="357"/>
      <c r="AD17" s="357"/>
      <c r="AE17" s="357"/>
      <c r="AF17" s="357"/>
      <c r="AG17" s="357"/>
      <c r="AH17" s="357"/>
      <c r="AI17" s="357"/>
      <c r="AJ17" s="357"/>
    </row>
    <row r="18" spans="1:36" s="344" customFormat="1" ht="18" customHeight="1">
      <c r="A18" s="356"/>
      <c r="B18" s="376"/>
      <c r="C18" s="364" t="s">
        <v>6</v>
      </c>
      <c r="D18" s="440">
        <v>0</v>
      </c>
      <c r="E18" s="441">
        <v>50</v>
      </c>
      <c r="F18" s="441">
        <v>0</v>
      </c>
      <c r="G18" s="364"/>
      <c r="H18" s="364" t="s">
        <v>10</v>
      </c>
      <c r="I18" s="440">
        <v>0</v>
      </c>
      <c r="J18" s="441">
        <v>35</v>
      </c>
      <c r="K18" s="441">
        <v>1</v>
      </c>
      <c r="L18" s="441">
        <v>0</v>
      </c>
      <c r="M18" s="364"/>
      <c r="N18" s="364" t="s">
        <v>6</v>
      </c>
      <c r="O18" s="440">
        <v>0</v>
      </c>
      <c r="P18" s="441">
        <v>50</v>
      </c>
      <c r="Q18" s="441">
        <v>0</v>
      </c>
      <c r="R18" s="364"/>
      <c r="S18" s="364" t="s">
        <v>10</v>
      </c>
      <c r="T18" s="440">
        <v>0</v>
      </c>
      <c r="U18" s="441">
        <v>35</v>
      </c>
      <c r="V18" s="441">
        <v>0</v>
      </c>
      <c r="W18" s="451">
        <v>0</v>
      </c>
      <c r="X18" s="377"/>
      <c r="Y18" s="356"/>
      <c r="Z18" s="356"/>
      <c r="AA18" s="356"/>
      <c r="AB18" s="356"/>
      <c r="AC18" s="356"/>
      <c r="AD18" s="356"/>
      <c r="AE18" s="356"/>
      <c r="AF18" s="356"/>
      <c r="AG18" s="356"/>
      <c r="AH18" s="356"/>
      <c r="AI18" s="356"/>
      <c r="AJ18" s="356"/>
    </row>
    <row r="19" spans="1:387" s="344" customFormat="1" ht="14.85" customHeight="1">
      <c r="A19" s="356"/>
      <c r="B19" s="376"/>
      <c r="C19" s="364" t="s">
        <v>7</v>
      </c>
      <c r="D19" s="440">
        <v>0</v>
      </c>
      <c r="E19" s="441">
        <v>75</v>
      </c>
      <c r="F19" s="441">
        <v>0</v>
      </c>
      <c r="G19" s="364"/>
      <c r="H19" s="364" t="s">
        <v>6</v>
      </c>
      <c r="I19" s="440">
        <v>0</v>
      </c>
      <c r="J19" s="441">
        <v>50</v>
      </c>
      <c r="K19" s="441">
        <v>10</v>
      </c>
      <c r="L19" s="441">
        <v>0</v>
      </c>
      <c r="M19" s="364"/>
      <c r="N19" s="364" t="s">
        <v>7</v>
      </c>
      <c r="O19" s="440">
        <v>0</v>
      </c>
      <c r="P19" s="441">
        <v>75</v>
      </c>
      <c r="Q19" s="441">
        <v>0</v>
      </c>
      <c r="R19" s="364"/>
      <c r="S19" s="364" t="s">
        <v>6</v>
      </c>
      <c r="T19" s="440">
        <v>0</v>
      </c>
      <c r="U19" s="441">
        <v>50</v>
      </c>
      <c r="V19" s="441">
        <v>0</v>
      </c>
      <c r="W19" s="451">
        <v>0</v>
      </c>
      <c r="X19" s="377"/>
      <c r="Y19" s="356"/>
      <c r="Z19" s="356"/>
      <c r="AA19" s="356"/>
      <c r="AB19" s="356"/>
      <c r="AC19" s="356"/>
      <c r="AD19" s="356"/>
      <c r="AE19" s="356"/>
      <c r="AF19" s="356"/>
      <c r="AG19" s="356"/>
      <c r="AH19" s="356"/>
      <c r="AI19" s="356"/>
      <c r="AJ19" s="356"/>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c r="BL19" s="354"/>
      <c r="BM19" s="354"/>
      <c r="BN19" s="354"/>
      <c r="BO19" s="354"/>
      <c r="BP19" s="354"/>
      <c r="BQ19" s="354"/>
      <c r="BR19" s="354"/>
      <c r="BS19" s="354"/>
      <c r="BT19" s="354"/>
      <c r="BU19" s="354"/>
      <c r="BV19" s="354"/>
      <c r="BW19" s="354"/>
      <c r="BX19" s="354"/>
      <c r="BY19" s="354"/>
      <c r="BZ19" s="354"/>
      <c r="CA19" s="354"/>
      <c r="CB19" s="354"/>
      <c r="CC19" s="354"/>
      <c r="CD19" s="354"/>
      <c r="CE19" s="354"/>
      <c r="CF19" s="354"/>
      <c r="CG19" s="354"/>
      <c r="CH19" s="354"/>
      <c r="CI19" s="354"/>
      <c r="CJ19" s="354"/>
      <c r="CK19" s="354"/>
      <c r="CL19" s="354"/>
      <c r="CM19" s="354"/>
      <c r="CN19" s="354"/>
      <c r="CO19" s="354"/>
      <c r="CP19" s="354"/>
      <c r="CQ19" s="354"/>
      <c r="CR19" s="354"/>
      <c r="CS19" s="354"/>
      <c r="CT19" s="354"/>
      <c r="CU19" s="354"/>
      <c r="CV19" s="354"/>
      <c r="CW19" s="354"/>
      <c r="CX19" s="354"/>
      <c r="CY19" s="354"/>
      <c r="CZ19" s="354"/>
      <c r="DA19" s="354"/>
      <c r="DB19" s="354"/>
      <c r="DC19" s="354"/>
      <c r="DD19" s="354"/>
      <c r="DE19" s="354"/>
      <c r="DF19" s="354"/>
      <c r="DG19" s="354"/>
      <c r="DH19" s="354"/>
      <c r="DI19" s="354"/>
      <c r="DJ19" s="354"/>
      <c r="DK19" s="354"/>
      <c r="DL19" s="354"/>
      <c r="DM19" s="354"/>
      <c r="DN19" s="354"/>
      <c r="DO19" s="354"/>
      <c r="DP19" s="354"/>
      <c r="DQ19" s="354"/>
      <c r="DR19" s="354"/>
      <c r="DS19" s="354"/>
      <c r="DT19" s="354"/>
      <c r="DU19" s="354"/>
      <c r="DV19" s="354"/>
      <c r="DW19" s="354"/>
      <c r="DX19" s="354"/>
      <c r="DY19" s="354"/>
      <c r="DZ19" s="354"/>
      <c r="EA19" s="354"/>
      <c r="EB19" s="354"/>
      <c r="EC19" s="354"/>
      <c r="ED19" s="354"/>
      <c r="EE19" s="354"/>
      <c r="EF19" s="354"/>
      <c r="EG19" s="354"/>
      <c r="EH19" s="354"/>
      <c r="EI19" s="354"/>
      <c r="EJ19" s="354"/>
      <c r="EK19" s="354"/>
      <c r="EL19" s="354"/>
      <c r="EM19" s="354"/>
      <c r="EN19" s="354"/>
      <c r="EO19" s="354"/>
      <c r="EP19" s="354"/>
      <c r="EQ19" s="354"/>
      <c r="ER19" s="354"/>
      <c r="ES19" s="354"/>
      <c r="ET19" s="354"/>
      <c r="EU19" s="354"/>
      <c r="EV19" s="354"/>
      <c r="EW19" s="354"/>
      <c r="EX19" s="354"/>
      <c r="EY19" s="354"/>
      <c r="EZ19" s="354"/>
      <c r="FA19" s="354"/>
      <c r="FB19" s="354"/>
      <c r="FC19" s="354"/>
      <c r="FD19" s="354"/>
      <c r="FE19" s="354"/>
      <c r="FF19" s="354"/>
      <c r="FG19" s="354"/>
      <c r="FH19" s="354"/>
      <c r="FI19" s="354"/>
      <c r="FJ19" s="354"/>
      <c r="FK19" s="354"/>
      <c r="FL19" s="354"/>
      <c r="FM19" s="354"/>
      <c r="FN19" s="354"/>
      <c r="FO19" s="354"/>
      <c r="FP19" s="354"/>
      <c r="FQ19" s="354"/>
      <c r="FR19" s="354"/>
      <c r="FS19" s="354"/>
      <c r="FT19" s="354"/>
      <c r="FU19" s="354"/>
      <c r="FV19" s="354"/>
      <c r="FW19" s="354"/>
      <c r="FX19" s="354"/>
      <c r="FY19" s="354"/>
      <c r="FZ19" s="354"/>
      <c r="GA19" s="354"/>
      <c r="GB19" s="354"/>
      <c r="GC19" s="354"/>
      <c r="GD19" s="354"/>
      <c r="GE19" s="354"/>
      <c r="GF19" s="354"/>
      <c r="GG19" s="354"/>
      <c r="GH19" s="354"/>
      <c r="GI19" s="354"/>
      <c r="GJ19" s="354"/>
      <c r="GK19" s="354"/>
      <c r="GL19" s="354"/>
      <c r="GM19" s="354"/>
      <c r="GN19" s="354"/>
      <c r="GO19" s="354"/>
      <c r="GP19" s="354"/>
      <c r="GQ19" s="354"/>
      <c r="GR19" s="354"/>
      <c r="GS19" s="354"/>
      <c r="GT19" s="354"/>
      <c r="GU19" s="354"/>
      <c r="GV19" s="354"/>
      <c r="GW19" s="354"/>
      <c r="GX19" s="354"/>
      <c r="GY19" s="354"/>
      <c r="GZ19" s="354"/>
      <c r="HA19" s="354"/>
      <c r="HB19" s="354"/>
      <c r="HC19" s="354"/>
      <c r="HD19" s="354"/>
      <c r="HE19" s="354"/>
      <c r="HF19" s="354"/>
      <c r="HG19" s="354"/>
      <c r="HH19" s="354"/>
      <c r="HI19" s="354"/>
      <c r="HJ19" s="354"/>
      <c r="HK19" s="354"/>
      <c r="HL19" s="354"/>
      <c r="HM19" s="354"/>
      <c r="HN19" s="354"/>
      <c r="HO19" s="354"/>
      <c r="HP19" s="354"/>
      <c r="HQ19" s="354"/>
      <c r="HR19" s="354"/>
      <c r="HS19" s="354"/>
      <c r="HT19" s="354"/>
      <c r="HU19" s="354"/>
      <c r="HV19" s="354"/>
      <c r="HW19" s="354"/>
      <c r="HX19" s="354"/>
      <c r="HY19" s="354"/>
      <c r="HZ19" s="354"/>
      <c r="IA19" s="354"/>
      <c r="IB19" s="354"/>
      <c r="IC19" s="354"/>
      <c r="ID19" s="354"/>
      <c r="IE19" s="354"/>
      <c r="IF19" s="354"/>
      <c r="IG19" s="354"/>
      <c r="IH19" s="354"/>
      <c r="II19" s="354"/>
      <c r="IJ19" s="354"/>
      <c r="IK19" s="354"/>
      <c r="IL19" s="354"/>
      <c r="IM19" s="354"/>
      <c r="IN19" s="354"/>
      <c r="IO19" s="354"/>
      <c r="IP19" s="354"/>
      <c r="IQ19" s="354"/>
      <c r="IR19" s="354"/>
      <c r="IS19" s="354"/>
      <c r="IT19" s="354"/>
      <c r="IU19" s="354"/>
      <c r="IV19" s="354"/>
      <c r="IW19" s="354"/>
      <c r="IX19" s="354"/>
      <c r="IY19" s="354"/>
      <c r="IZ19" s="354"/>
      <c r="JA19" s="354"/>
      <c r="JB19" s="354"/>
      <c r="JC19" s="354"/>
      <c r="JD19" s="354"/>
      <c r="JE19" s="354"/>
      <c r="JF19" s="354"/>
      <c r="JG19" s="354"/>
      <c r="JH19" s="354"/>
      <c r="JI19" s="354"/>
      <c r="JJ19" s="354"/>
      <c r="JK19" s="354"/>
      <c r="JL19" s="354"/>
      <c r="JM19" s="354"/>
      <c r="JN19" s="354"/>
      <c r="JO19" s="354"/>
      <c r="JP19" s="354"/>
      <c r="JQ19" s="354"/>
      <c r="JR19" s="354"/>
      <c r="JS19" s="354"/>
      <c r="JT19" s="354"/>
      <c r="JU19" s="354"/>
      <c r="JV19" s="354"/>
      <c r="JW19" s="354"/>
      <c r="JX19" s="354"/>
      <c r="JY19" s="354"/>
      <c r="JZ19" s="354"/>
      <c r="KA19" s="354"/>
      <c r="KB19" s="354"/>
      <c r="KC19" s="354"/>
      <c r="KD19" s="354"/>
      <c r="KE19" s="354"/>
      <c r="KF19" s="354"/>
      <c r="KG19" s="354"/>
      <c r="KH19" s="354"/>
      <c r="KI19" s="354"/>
      <c r="KJ19" s="354"/>
      <c r="KK19" s="354"/>
      <c r="KL19" s="354"/>
      <c r="KM19" s="354"/>
      <c r="KN19" s="354"/>
      <c r="KO19" s="354"/>
      <c r="KP19" s="354"/>
      <c r="KQ19" s="354"/>
      <c r="KR19" s="354"/>
      <c r="KS19" s="354"/>
      <c r="KT19" s="354"/>
      <c r="KU19" s="354"/>
      <c r="KV19" s="354"/>
      <c r="KW19" s="354"/>
      <c r="KX19" s="354"/>
      <c r="KY19" s="354"/>
      <c r="KZ19" s="354"/>
      <c r="LA19" s="354"/>
      <c r="LB19" s="354"/>
      <c r="LC19" s="354"/>
      <c r="LD19" s="354"/>
      <c r="LE19" s="354"/>
      <c r="LF19" s="354"/>
      <c r="LG19" s="354"/>
      <c r="LH19" s="354"/>
      <c r="LI19" s="354"/>
      <c r="LJ19" s="354"/>
      <c r="LK19" s="354"/>
      <c r="LL19" s="354"/>
      <c r="LM19" s="354"/>
      <c r="LN19" s="354"/>
      <c r="LO19" s="354"/>
      <c r="LP19" s="354"/>
      <c r="LQ19" s="354"/>
      <c r="LR19" s="354"/>
      <c r="LS19" s="354"/>
      <c r="LT19" s="354"/>
      <c r="LU19" s="354"/>
      <c r="LV19" s="354"/>
      <c r="LW19" s="354"/>
      <c r="LX19" s="354"/>
      <c r="LY19" s="354"/>
      <c r="LZ19" s="354"/>
      <c r="MA19" s="354"/>
      <c r="MB19" s="354"/>
      <c r="MC19" s="354"/>
      <c r="MD19" s="354"/>
      <c r="ME19" s="354"/>
      <c r="MF19" s="354"/>
      <c r="MG19" s="354"/>
      <c r="MH19" s="354"/>
      <c r="MI19" s="354"/>
      <c r="MJ19" s="354"/>
      <c r="MK19" s="354"/>
      <c r="ML19" s="354"/>
      <c r="MM19" s="354"/>
      <c r="MN19" s="354"/>
      <c r="MO19" s="354"/>
      <c r="MP19" s="354"/>
      <c r="MQ19" s="354"/>
      <c r="MR19" s="354"/>
      <c r="MS19" s="354"/>
      <c r="MT19" s="354"/>
      <c r="MU19" s="354"/>
      <c r="MV19" s="354"/>
      <c r="MW19" s="354"/>
      <c r="MX19" s="354"/>
      <c r="MY19" s="354"/>
      <c r="MZ19" s="354"/>
      <c r="NA19" s="354"/>
      <c r="NB19" s="354"/>
      <c r="NC19" s="354"/>
      <c r="ND19" s="354"/>
      <c r="NE19" s="354"/>
      <c r="NF19" s="354"/>
      <c r="NG19" s="354"/>
      <c r="NH19" s="354"/>
      <c r="NI19" s="354"/>
      <c r="NJ19" s="354"/>
      <c r="NK19" s="354"/>
      <c r="NL19" s="354"/>
      <c r="NM19" s="354"/>
      <c r="NN19" s="354"/>
      <c r="NO19" s="354"/>
      <c r="NP19" s="354"/>
      <c r="NQ19" s="354"/>
      <c r="NR19" s="354"/>
      <c r="NS19" s="354"/>
      <c r="NT19" s="354"/>
      <c r="NU19" s="354"/>
      <c r="NV19" s="354"/>
      <c r="NW19" s="354"/>
    </row>
    <row r="20" spans="1:387" s="344" customFormat="1" ht="15.6">
      <c r="A20" s="356"/>
      <c r="B20" s="376"/>
      <c r="C20" s="364" t="s">
        <v>8</v>
      </c>
      <c r="D20" s="440">
        <v>0</v>
      </c>
      <c r="E20" s="441">
        <v>85</v>
      </c>
      <c r="F20" s="441">
        <v>0</v>
      </c>
      <c r="G20" s="364"/>
      <c r="H20" s="364" t="s">
        <v>7</v>
      </c>
      <c r="I20" s="440">
        <v>0</v>
      </c>
      <c r="J20" s="441">
        <v>75</v>
      </c>
      <c r="K20" s="441">
        <v>10</v>
      </c>
      <c r="L20" s="441">
        <v>0</v>
      </c>
      <c r="M20" s="364"/>
      <c r="N20" s="364" t="s">
        <v>8</v>
      </c>
      <c r="O20" s="440">
        <v>0</v>
      </c>
      <c r="P20" s="441">
        <v>85</v>
      </c>
      <c r="Q20" s="441">
        <v>0</v>
      </c>
      <c r="R20" s="364"/>
      <c r="S20" s="364" t="s">
        <v>7</v>
      </c>
      <c r="T20" s="440">
        <v>0</v>
      </c>
      <c r="U20" s="441">
        <v>75</v>
      </c>
      <c r="V20" s="441">
        <v>0</v>
      </c>
      <c r="W20" s="451">
        <v>0</v>
      </c>
      <c r="X20" s="377"/>
      <c r="Y20" s="356"/>
      <c r="Z20" s="356"/>
      <c r="AA20" s="356"/>
      <c r="AB20" s="356"/>
      <c r="AC20" s="356"/>
      <c r="AD20" s="356"/>
      <c r="AE20" s="356"/>
      <c r="AF20" s="356"/>
      <c r="AG20" s="356"/>
      <c r="AH20" s="356"/>
      <c r="AI20" s="356"/>
      <c r="AJ20" s="356"/>
      <c r="AK20" s="354"/>
      <c r="AL20" s="354"/>
      <c r="AM20" s="354"/>
      <c r="AN20" s="354"/>
      <c r="AO20" s="354"/>
      <c r="AP20" s="354"/>
      <c r="AQ20" s="354"/>
      <c r="AR20" s="354"/>
      <c r="AS20" s="354"/>
      <c r="AT20" s="354"/>
      <c r="AU20" s="354"/>
      <c r="AV20" s="354"/>
      <c r="AW20" s="354"/>
      <c r="AX20" s="354"/>
      <c r="AY20" s="354"/>
      <c r="AZ20" s="354"/>
      <c r="BA20" s="354"/>
      <c r="BB20" s="354"/>
      <c r="BC20" s="354"/>
      <c r="BD20" s="354"/>
      <c r="BE20" s="354"/>
      <c r="BF20" s="354"/>
      <c r="BG20" s="354"/>
      <c r="BH20" s="354"/>
      <c r="BI20" s="354"/>
      <c r="BJ20" s="354"/>
      <c r="BK20" s="354"/>
      <c r="BL20" s="354"/>
      <c r="BM20" s="354"/>
      <c r="BN20" s="354"/>
      <c r="BO20" s="354"/>
      <c r="BP20" s="354"/>
      <c r="BQ20" s="354"/>
      <c r="BR20" s="354"/>
      <c r="BS20" s="354"/>
      <c r="BT20" s="354"/>
      <c r="BU20" s="354"/>
      <c r="BV20" s="354"/>
      <c r="BW20" s="354"/>
      <c r="BX20" s="354"/>
      <c r="BY20" s="354"/>
      <c r="BZ20" s="354"/>
      <c r="CA20" s="354"/>
      <c r="CB20" s="354"/>
      <c r="CC20" s="354"/>
      <c r="CD20" s="354"/>
      <c r="CE20" s="354"/>
      <c r="CF20" s="354"/>
      <c r="CG20" s="354"/>
      <c r="CH20" s="354"/>
      <c r="CI20" s="354"/>
      <c r="CJ20" s="354"/>
      <c r="CK20" s="354"/>
      <c r="CL20" s="354"/>
      <c r="CM20" s="354"/>
      <c r="CN20" s="354"/>
      <c r="CO20" s="354"/>
      <c r="CP20" s="354"/>
      <c r="CQ20" s="354"/>
      <c r="CR20" s="354"/>
      <c r="CS20" s="354"/>
      <c r="CT20" s="354"/>
      <c r="CU20" s="354"/>
      <c r="CV20" s="354"/>
      <c r="CW20" s="354"/>
      <c r="CX20" s="354"/>
      <c r="CY20" s="354"/>
      <c r="CZ20" s="354"/>
      <c r="DA20" s="354"/>
      <c r="DB20" s="354"/>
      <c r="DC20" s="354"/>
      <c r="DD20" s="354"/>
      <c r="DE20" s="354"/>
      <c r="DF20" s="354"/>
      <c r="DG20" s="354"/>
      <c r="DH20" s="354"/>
      <c r="DI20" s="354"/>
      <c r="DJ20" s="354"/>
      <c r="DK20" s="354"/>
      <c r="DL20" s="354"/>
      <c r="DM20" s="354"/>
      <c r="DN20" s="354"/>
      <c r="DO20" s="354"/>
      <c r="DP20" s="354"/>
      <c r="DQ20" s="354"/>
      <c r="DR20" s="354"/>
      <c r="DS20" s="354"/>
      <c r="DT20" s="354"/>
      <c r="DU20" s="354"/>
      <c r="DV20" s="354"/>
      <c r="DW20" s="354"/>
      <c r="DX20" s="354"/>
      <c r="DY20" s="354"/>
      <c r="DZ20" s="354"/>
      <c r="EA20" s="354"/>
      <c r="EB20" s="354"/>
      <c r="EC20" s="354"/>
      <c r="ED20" s="354"/>
      <c r="EE20" s="354"/>
      <c r="EF20" s="354"/>
      <c r="EG20" s="354"/>
      <c r="EH20" s="354"/>
      <c r="EI20" s="354"/>
      <c r="EJ20" s="354"/>
      <c r="EK20" s="354"/>
      <c r="EL20" s="354"/>
      <c r="EM20" s="354"/>
      <c r="EN20" s="354"/>
      <c r="EO20" s="354"/>
      <c r="EP20" s="354"/>
      <c r="EQ20" s="354"/>
      <c r="ER20" s="354"/>
      <c r="ES20" s="354"/>
      <c r="ET20" s="354"/>
      <c r="EU20" s="354"/>
      <c r="EV20" s="354"/>
      <c r="EW20" s="354"/>
      <c r="EX20" s="354"/>
      <c r="EY20" s="354"/>
      <c r="EZ20" s="354"/>
      <c r="FA20" s="354"/>
      <c r="FB20" s="354"/>
      <c r="FC20" s="354"/>
      <c r="FD20" s="354"/>
      <c r="FE20" s="354"/>
      <c r="FF20" s="354"/>
      <c r="FG20" s="354"/>
      <c r="FH20" s="354"/>
      <c r="FI20" s="354"/>
      <c r="FJ20" s="354"/>
      <c r="FK20" s="354"/>
      <c r="FL20" s="354"/>
      <c r="FM20" s="354"/>
      <c r="FN20" s="354"/>
      <c r="FO20" s="354"/>
      <c r="FP20" s="354"/>
      <c r="FQ20" s="354"/>
      <c r="FR20" s="354"/>
      <c r="FS20" s="354"/>
      <c r="FT20" s="354"/>
      <c r="FU20" s="354"/>
      <c r="FV20" s="354"/>
      <c r="FW20" s="354"/>
      <c r="FX20" s="354"/>
      <c r="FY20" s="354"/>
      <c r="FZ20" s="354"/>
      <c r="GA20" s="354"/>
      <c r="GB20" s="354"/>
      <c r="GC20" s="354"/>
      <c r="GD20" s="354"/>
      <c r="GE20" s="354"/>
      <c r="GF20" s="354"/>
      <c r="GG20" s="354"/>
      <c r="GH20" s="354"/>
      <c r="GI20" s="354"/>
      <c r="GJ20" s="354"/>
      <c r="GK20" s="354"/>
      <c r="GL20" s="354"/>
      <c r="GM20" s="354"/>
      <c r="GN20" s="354"/>
      <c r="GO20" s="354"/>
      <c r="GP20" s="354"/>
      <c r="GQ20" s="354"/>
      <c r="GR20" s="354"/>
      <c r="GS20" s="354"/>
      <c r="GT20" s="354"/>
      <c r="GU20" s="354"/>
      <c r="GV20" s="354"/>
      <c r="GW20" s="354"/>
      <c r="GX20" s="354"/>
      <c r="GY20" s="354"/>
      <c r="GZ20" s="354"/>
      <c r="HA20" s="354"/>
      <c r="HB20" s="354"/>
      <c r="HC20" s="354"/>
      <c r="HD20" s="354"/>
      <c r="HE20" s="354"/>
      <c r="HF20" s="354"/>
      <c r="HG20" s="354"/>
      <c r="HH20" s="354"/>
      <c r="HI20" s="354"/>
      <c r="HJ20" s="354"/>
      <c r="HK20" s="354"/>
      <c r="HL20" s="354"/>
      <c r="HM20" s="354"/>
      <c r="HN20" s="354"/>
      <c r="HO20" s="354"/>
      <c r="HP20" s="354"/>
      <c r="HQ20" s="354"/>
      <c r="HR20" s="354"/>
      <c r="HS20" s="354"/>
      <c r="HT20" s="354"/>
      <c r="HU20" s="354"/>
      <c r="HV20" s="354"/>
      <c r="HW20" s="354"/>
      <c r="HX20" s="354"/>
      <c r="HY20" s="354"/>
      <c r="HZ20" s="354"/>
      <c r="IA20" s="354"/>
      <c r="IB20" s="354"/>
      <c r="IC20" s="354"/>
      <c r="ID20" s="354"/>
      <c r="IE20" s="354"/>
      <c r="IF20" s="354"/>
      <c r="IG20" s="354"/>
      <c r="IH20" s="354"/>
      <c r="II20" s="354"/>
      <c r="IJ20" s="354"/>
      <c r="IK20" s="354"/>
      <c r="IL20" s="354"/>
      <c r="IM20" s="354"/>
      <c r="IN20" s="354"/>
      <c r="IO20" s="354"/>
      <c r="IP20" s="354"/>
      <c r="IQ20" s="354"/>
      <c r="IR20" s="354"/>
      <c r="IS20" s="354"/>
      <c r="IT20" s="354"/>
      <c r="IU20" s="354"/>
      <c r="IV20" s="354"/>
      <c r="IW20" s="354"/>
      <c r="IX20" s="354"/>
      <c r="IY20" s="354"/>
      <c r="IZ20" s="354"/>
      <c r="JA20" s="354"/>
      <c r="JB20" s="354"/>
      <c r="JC20" s="354"/>
      <c r="JD20" s="354"/>
      <c r="JE20" s="354"/>
      <c r="JF20" s="354"/>
      <c r="JG20" s="354"/>
      <c r="JH20" s="354"/>
      <c r="JI20" s="354"/>
      <c r="JJ20" s="354"/>
      <c r="JK20" s="354"/>
      <c r="JL20" s="354"/>
      <c r="JM20" s="354"/>
      <c r="JN20" s="354"/>
      <c r="JO20" s="354"/>
      <c r="JP20" s="354"/>
      <c r="JQ20" s="354"/>
      <c r="JR20" s="354"/>
      <c r="JS20" s="354"/>
      <c r="JT20" s="354"/>
      <c r="JU20" s="354"/>
      <c r="JV20" s="354"/>
      <c r="JW20" s="354"/>
      <c r="JX20" s="354"/>
      <c r="JY20" s="354"/>
      <c r="JZ20" s="354"/>
      <c r="KA20" s="354"/>
      <c r="KB20" s="354"/>
      <c r="KC20" s="354"/>
      <c r="KD20" s="354"/>
      <c r="KE20" s="354"/>
      <c r="KF20" s="354"/>
      <c r="KG20" s="354"/>
      <c r="KH20" s="354"/>
      <c r="KI20" s="354"/>
      <c r="KJ20" s="354"/>
      <c r="KK20" s="354"/>
      <c r="KL20" s="354"/>
      <c r="KM20" s="354"/>
      <c r="KN20" s="354"/>
      <c r="KO20" s="354"/>
      <c r="KP20" s="354"/>
      <c r="KQ20" s="354"/>
      <c r="KR20" s="354"/>
      <c r="KS20" s="354"/>
      <c r="KT20" s="354"/>
      <c r="KU20" s="354"/>
      <c r="KV20" s="354"/>
      <c r="KW20" s="354"/>
      <c r="KX20" s="354"/>
      <c r="KY20" s="354"/>
      <c r="KZ20" s="354"/>
      <c r="LA20" s="354"/>
      <c r="LB20" s="354"/>
      <c r="LC20" s="354"/>
      <c r="LD20" s="354"/>
      <c r="LE20" s="354"/>
      <c r="LF20" s="354"/>
      <c r="LG20" s="354"/>
      <c r="LH20" s="354"/>
      <c r="LI20" s="354"/>
      <c r="LJ20" s="354"/>
      <c r="LK20" s="354"/>
      <c r="LL20" s="354"/>
      <c r="LM20" s="354"/>
      <c r="LN20" s="354"/>
      <c r="LO20" s="354"/>
      <c r="LP20" s="354"/>
      <c r="LQ20" s="354"/>
      <c r="LR20" s="354"/>
      <c r="LS20" s="354"/>
      <c r="LT20" s="354"/>
      <c r="LU20" s="354"/>
      <c r="LV20" s="354"/>
      <c r="LW20" s="354"/>
      <c r="LX20" s="354"/>
      <c r="LY20" s="354"/>
      <c r="LZ20" s="354"/>
      <c r="MA20" s="354"/>
      <c r="MB20" s="354"/>
      <c r="MC20" s="354"/>
      <c r="MD20" s="354"/>
      <c r="ME20" s="354"/>
      <c r="MF20" s="354"/>
      <c r="MG20" s="354"/>
      <c r="MH20" s="354"/>
      <c r="MI20" s="354"/>
      <c r="MJ20" s="354"/>
      <c r="MK20" s="354"/>
      <c r="ML20" s="354"/>
      <c r="MM20" s="354"/>
      <c r="MN20" s="354"/>
      <c r="MO20" s="354"/>
      <c r="MP20" s="354"/>
      <c r="MQ20" s="354"/>
      <c r="MR20" s="354"/>
      <c r="MS20" s="354"/>
      <c r="MT20" s="354"/>
      <c r="MU20" s="354"/>
      <c r="MV20" s="354"/>
      <c r="MW20" s="354"/>
      <c r="MX20" s="354"/>
      <c r="MY20" s="354"/>
      <c r="MZ20" s="354"/>
      <c r="NA20" s="354"/>
      <c r="NB20" s="354"/>
      <c r="NC20" s="354"/>
      <c r="ND20" s="354"/>
      <c r="NE20" s="354"/>
      <c r="NF20" s="354"/>
      <c r="NG20" s="354"/>
      <c r="NH20" s="354"/>
      <c r="NI20" s="354"/>
      <c r="NJ20" s="354"/>
      <c r="NK20" s="354"/>
      <c r="NL20" s="354"/>
      <c r="NM20" s="354"/>
      <c r="NN20" s="354"/>
      <c r="NO20" s="354"/>
      <c r="NP20" s="354"/>
      <c r="NQ20" s="354"/>
      <c r="NR20" s="354"/>
      <c r="NS20" s="354"/>
      <c r="NT20" s="354"/>
      <c r="NU20" s="354"/>
      <c r="NV20" s="354"/>
      <c r="NW20" s="354"/>
    </row>
    <row r="21" spans="1:387" ht="15.6">
      <c r="A21" s="355"/>
      <c r="B21" s="376"/>
      <c r="C21" s="364" t="s">
        <v>9</v>
      </c>
      <c r="D21" s="440">
        <v>0</v>
      </c>
      <c r="E21" s="441">
        <v>95</v>
      </c>
      <c r="F21" s="441">
        <v>0</v>
      </c>
      <c r="G21" s="364"/>
      <c r="H21" s="364" t="s">
        <v>8</v>
      </c>
      <c r="I21" s="440">
        <v>0</v>
      </c>
      <c r="J21" s="441">
        <v>85</v>
      </c>
      <c r="K21" s="441">
        <v>0</v>
      </c>
      <c r="L21" s="441">
        <v>0</v>
      </c>
      <c r="M21" s="364"/>
      <c r="N21" s="364" t="s">
        <v>9</v>
      </c>
      <c r="O21" s="440">
        <v>0</v>
      </c>
      <c r="P21" s="441">
        <v>95</v>
      </c>
      <c r="Q21" s="441">
        <v>0</v>
      </c>
      <c r="R21" s="364"/>
      <c r="S21" s="364" t="s">
        <v>8</v>
      </c>
      <c r="T21" s="440">
        <v>0</v>
      </c>
      <c r="U21" s="441">
        <v>85</v>
      </c>
      <c r="V21" s="441">
        <v>0</v>
      </c>
      <c r="W21" s="451">
        <v>0</v>
      </c>
      <c r="X21" s="377"/>
      <c r="Y21" s="355"/>
      <c r="Z21" s="355"/>
      <c r="AA21" s="355"/>
      <c r="AB21" s="355"/>
      <c r="AC21" s="355"/>
      <c r="AD21" s="355"/>
      <c r="AE21" s="355"/>
      <c r="AF21" s="355"/>
      <c r="AG21" s="355"/>
      <c r="AH21" s="355"/>
      <c r="AI21" s="355"/>
      <c r="AJ21" s="355"/>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row>
    <row r="22" spans="1:387" ht="15.6">
      <c r="A22" s="355"/>
      <c r="B22" s="376"/>
      <c r="C22" s="364" t="s">
        <v>11</v>
      </c>
      <c r="D22" s="440">
        <v>0</v>
      </c>
      <c r="E22" s="441">
        <v>105</v>
      </c>
      <c r="F22" s="441">
        <v>0</v>
      </c>
      <c r="G22" s="364"/>
      <c r="H22" s="364" t="s">
        <v>9</v>
      </c>
      <c r="I22" s="440">
        <v>0</v>
      </c>
      <c r="J22" s="441">
        <v>95</v>
      </c>
      <c r="K22" s="441">
        <v>0</v>
      </c>
      <c r="L22" s="441">
        <v>0</v>
      </c>
      <c r="M22" s="364"/>
      <c r="N22" s="364" t="s">
        <v>11</v>
      </c>
      <c r="O22" s="440">
        <v>0</v>
      </c>
      <c r="P22" s="441">
        <v>105</v>
      </c>
      <c r="Q22" s="441">
        <v>0</v>
      </c>
      <c r="R22" s="364"/>
      <c r="S22" s="364" t="s">
        <v>9</v>
      </c>
      <c r="T22" s="440">
        <v>0</v>
      </c>
      <c r="U22" s="441">
        <v>95</v>
      </c>
      <c r="V22" s="441">
        <v>0</v>
      </c>
      <c r="W22" s="451">
        <v>0</v>
      </c>
      <c r="X22" s="377"/>
      <c r="Y22" s="355"/>
      <c r="Z22" s="355"/>
      <c r="AA22" s="355"/>
      <c r="AB22" s="355"/>
      <c r="AC22" s="355"/>
      <c r="AD22" s="355"/>
      <c r="AE22" s="355"/>
      <c r="AF22" s="355"/>
      <c r="AG22" s="355"/>
      <c r="AH22" s="355"/>
      <c r="AI22" s="355"/>
      <c r="AJ22" s="355"/>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row>
    <row r="23" spans="1:387" ht="15.6">
      <c r="A23" s="355"/>
      <c r="B23" s="376"/>
      <c r="C23" s="364"/>
      <c r="D23" s="346"/>
      <c r="E23" s="364"/>
      <c r="F23" s="364"/>
      <c r="G23" s="364"/>
      <c r="H23" s="364"/>
      <c r="I23" s="346"/>
      <c r="J23" s="364"/>
      <c r="K23" s="364"/>
      <c r="L23" s="364"/>
      <c r="M23" s="364"/>
      <c r="N23" s="364"/>
      <c r="O23" s="346"/>
      <c r="P23" s="364"/>
      <c r="Q23" s="364"/>
      <c r="R23" s="364"/>
      <c r="S23" s="364"/>
      <c r="T23" s="346"/>
      <c r="U23" s="364"/>
      <c r="V23" s="364"/>
      <c r="W23" s="364"/>
      <c r="X23" s="377"/>
      <c r="Y23" s="355"/>
      <c r="Z23" s="355"/>
      <c r="AA23" s="355"/>
      <c r="AB23" s="355"/>
      <c r="AC23" s="355"/>
      <c r="AD23" s="355"/>
      <c r="AE23" s="355"/>
      <c r="AF23" s="355"/>
      <c r="AG23" s="355"/>
      <c r="AH23" s="355"/>
      <c r="AI23" s="355"/>
      <c r="AJ23" s="355"/>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row>
    <row r="24" spans="1:387" ht="15.6">
      <c r="A24" s="355"/>
      <c r="B24" s="375"/>
      <c r="C24" s="362" t="s">
        <v>496</v>
      </c>
      <c r="H24" s="362" t="s">
        <v>497</v>
      </c>
      <c r="N24" s="362" t="s">
        <v>498</v>
      </c>
      <c r="S24" s="362" t="s">
        <v>499</v>
      </c>
      <c r="X24" s="383"/>
      <c r="Y24" s="355"/>
      <c r="Z24" s="355"/>
      <c r="AA24" s="355"/>
      <c r="AB24" s="355"/>
      <c r="AC24" s="355"/>
      <c r="AD24" s="355"/>
      <c r="AE24" s="355"/>
      <c r="AF24" s="355"/>
      <c r="AG24" s="355"/>
      <c r="AH24" s="355"/>
      <c r="AI24" s="355"/>
      <c r="AJ24" s="355"/>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row>
    <row r="25" spans="1:387" ht="15">
      <c r="A25" s="355"/>
      <c r="B25" s="375"/>
      <c r="C25" s="344" t="s">
        <v>219</v>
      </c>
      <c r="D25" s="398">
        <v>7</v>
      </c>
      <c r="H25" s="344" t="s">
        <v>219</v>
      </c>
      <c r="I25" s="398">
        <v>7</v>
      </c>
      <c r="N25" s="344" t="s">
        <v>219</v>
      </c>
      <c r="O25" s="398">
        <v>7</v>
      </c>
      <c r="S25" s="344" t="s">
        <v>219</v>
      </c>
      <c r="T25" s="398">
        <v>7</v>
      </c>
      <c r="X25" s="383"/>
      <c r="Y25" s="355"/>
      <c r="Z25" s="355"/>
      <c r="AA25" s="355"/>
      <c r="AB25" s="355"/>
      <c r="AC25" s="355"/>
      <c r="AD25" s="355"/>
      <c r="AE25" s="355"/>
      <c r="AF25" s="355"/>
      <c r="AG25" s="355"/>
      <c r="AH25" s="355"/>
      <c r="AI25" s="355"/>
      <c r="AJ25" s="35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row>
    <row r="26" spans="1:387" ht="15">
      <c r="A26" s="355"/>
      <c r="B26" s="375"/>
      <c r="C26" s="344" t="s">
        <v>480</v>
      </c>
      <c r="D26" s="398"/>
      <c r="H26" s="344" t="s">
        <v>480</v>
      </c>
      <c r="I26" s="398"/>
      <c r="N26" s="344" t="s">
        <v>480</v>
      </c>
      <c r="O26" s="398"/>
      <c r="S26" s="344" t="s">
        <v>480</v>
      </c>
      <c r="T26" s="398"/>
      <c r="X26" s="383"/>
      <c r="Y26" s="355"/>
      <c r="Z26" s="355"/>
      <c r="AA26" s="355"/>
      <c r="AB26" s="355"/>
      <c r="AC26" s="355"/>
      <c r="AD26" s="355"/>
      <c r="AE26" s="355"/>
      <c r="AF26" s="355"/>
      <c r="AG26" s="355"/>
      <c r="AH26" s="355"/>
      <c r="AI26" s="355"/>
      <c r="AJ26" s="355"/>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row>
    <row r="27" spans="1:387" ht="15">
      <c r="A27" s="355"/>
      <c r="B27" s="375"/>
      <c r="C27" s="344" t="s">
        <v>481</v>
      </c>
      <c r="D27" s="398"/>
      <c r="H27" s="344" t="s">
        <v>481</v>
      </c>
      <c r="I27" s="398"/>
      <c r="N27" s="344" t="s">
        <v>481</v>
      </c>
      <c r="O27" s="398"/>
      <c r="S27" s="344" t="s">
        <v>481</v>
      </c>
      <c r="T27" s="398"/>
      <c r="X27" s="383"/>
      <c r="Y27" s="355"/>
      <c r="Z27" s="355"/>
      <c r="AA27" s="355"/>
      <c r="AB27" s="355"/>
      <c r="AC27" s="355"/>
      <c r="AD27" s="355"/>
      <c r="AE27" s="355"/>
      <c r="AF27" s="355"/>
      <c r="AG27" s="355"/>
      <c r="AH27" s="355"/>
      <c r="AI27" s="355"/>
      <c r="AJ27" s="355"/>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row>
    <row r="28" spans="1:387" ht="15" thickBot="1">
      <c r="A28" s="355"/>
      <c r="B28" s="378"/>
      <c r="C28" s="380"/>
      <c r="D28" s="380"/>
      <c r="E28" s="380"/>
      <c r="F28" s="380"/>
      <c r="G28" s="380"/>
      <c r="H28" s="380"/>
      <c r="I28" s="380"/>
      <c r="J28" s="380"/>
      <c r="K28" s="380"/>
      <c r="L28" s="380"/>
      <c r="M28" s="380"/>
      <c r="N28" s="380"/>
      <c r="O28" s="380"/>
      <c r="P28" s="380"/>
      <c r="Q28" s="380"/>
      <c r="R28" s="380"/>
      <c r="S28" s="380"/>
      <c r="T28" s="380"/>
      <c r="U28" s="380"/>
      <c r="V28" s="380"/>
      <c r="W28" s="380"/>
      <c r="X28" s="388"/>
      <c r="Y28" s="355"/>
      <c r="Z28" s="355"/>
      <c r="AA28" s="355"/>
      <c r="AB28" s="355"/>
      <c r="AC28" s="355"/>
      <c r="AD28" s="355"/>
      <c r="AE28" s="355"/>
      <c r="AF28" s="355"/>
      <c r="AG28" s="355"/>
      <c r="AH28" s="355"/>
      <c r="AI28" s="355"/>
      <c r="AJ28" s="355"/>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row>
    <row r="29" spans="1:36" ht="15" thickBot="1">
      <c r="A29" s="355"/>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row>
    <row r="30" spans="1:43" ht="30" customHeight="1">
      <c r="A30" s="355"/>
      <c r="B30" s="370"/>
      <c r="C30" s="371" t="s">
        <v>531</v>
      </c>
      <c r="D30" s="372"/>
      <c r="E30" s="372"/>
      <c r="F30" s="372"/>
      <c r="G30" s="372"/>
      <c r="H30" s="372"/>
      <c r="I30" s="372"/>
      <c r="J30" s="372"/>
      <c r="K30" s="468"/>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Q30" s="348"/>
    </row>
    <row r="31" spans="1:45" ht="15.6">
      <c r="A31" s="355"/>
      <c r="B31" s="374"/>
      <c r="C31" s="361"/>
      <c r="D31" s="361"/>
      <c r="E31" s="361"/>
      <c r="G31" s="362"/>
      <c r="H31" s="362"/>
      <c r="I31" s="361"/>
      <c r="J31" s="361"/>
      <c r="K31" s="466"/>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Q31" s="349"/>
      <c r="AR31" s="348"/>
      <c r="AS31" s="350"/>
    </row>
    <row r="32" spans="1:45" ht="15.6">
      <c r="A32" s="355"/>
      <c r="B32" s="375"/>
      <c r="C32" s="361"/>
      <c r="D32" s="361"/>
      <c r="E32" s="361"/>
      <c r="G32" s="361"/>
      <c r="H32" s="361"/>
      <c r="I32" s="361"/>
      <c r="J32" s="463"/>
      <c r="K32" s="466"/>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Q32" s="348"/>
      <c r="AR32" s="348"/>
      <c r="AS32" s="350"/>
    </row>
    <row r="33" spans="1:45" ht="21">
      <c r="A33" s="355"/>
      <c r="B33" s="375"/>
      <c r="C33" s="363" t="s">
        <v>209</v>
      </c>
      <c r="D33" s="361"/>
      <c r="E33" s="361"/>
      <c r="G33" s="361"/>
      <c r="H33" s="362" t="s">
        <v>280</v>
      </c>
      <c r="I33" s="361"/>
      <c r="J33" s="463"/>
      <c r="K33" s="466"/>
      <c r="L33" s="355"/>
      <c r="M33" s="355"/>
      <c r="N33" s="355"/>
      <c r="O33" s="355"/>
      <c r="P33" s="355"/>
      <c r="Q33" s="355"/>
      <c r="R33" s="355"/>
      <c r="S33" s="355"/>
      <c r="T33" s="355"/>
      <c r="U33" s="355"/>
      <c r="V33" s="355"/>
      <c r="W33" s="355"/>
      <c r="X33" s="355"/>
      <c r="Y33" s="358"/>
      <c r="Z33" s="355"/>
      <c r="AA33" s="355"/>
      <c r="AB33" s="355"/>
      <c r="AC33" s="355"/>
      <c r="AD33" s="355"/>
      <c r="AE33" s="355"/>
      <c r="AF33" s="355"/>
      <c r="AG33" s="355"/>
      <c r="AH33" s="355"/>
      <c r="AI33" s="355"/>
      <c r="AJ33" s="355"/>
      <c r="AQ33" s="348"/>
      <c r="AR33" s="348"/>
      <c r="AS33" s="350"/>
    </row>
    <row r="34" spans="1:45" ht="15.6">
      <c r="A34" s="355"/>
      <c r="B34" s="376"/>
      <c r="C34" s="351" t="s">
        <v>213</v>
      </c>
      <c r="D34" s="431" t="s">
        <v>157</v>
      </c>
      <c r="E34" s="364"/>
      <c r="G34" s="364"/>
      <c r="H34" s="345" t="s">
        <v>100</v>
      </c>
      <c r="I34" s="438">
        <v>0.05</v>
      </c>
      <c r="J34" s="464"/>
      <c r="K34" s="466"/>
      <c r="L34" s="355"/>
      <c r="M34" s="356"/>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Q34" s="348"/>
      <c r="AR34" s="348"/>
      <c r="AS34" s="350"/>
    </row>
    <row r="35" spans="1:45" ht="31.2">
      <c r="A35" s="355"/>
      <c r="B35" s="376"/>
      <c r="C35" s="351" t="str">
        <f>IF(D34="Yes","Is rental data based on market valuations?","")</f>
        <v>Is rental data based on market valuations?</v>
      </c>
      <c r="D35" s="431" t="s">
        <v>157</v>
      </c>
      <c r="E35" s="364"/>
      <c r="G35" s="364"/>
      <c r="H35" s="345" t="s">
        <v>594</v>
      </c>
      <c r="I35" s="443">
        <v>0.025</v>
      </c>
      <c r="J35" s="464"/>
      <c r="K35" s="466"/>
      <c r="L35" s="355"/>
      <c r="M35" s="356"/>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Q35" s="348"/>
      <c r="AR35" s="348"/>
      <c r="AS35" s="350"/>
    </row>
    <row r="36" spans="1:36" ht="15.6">
      <c r="A36" s="355"/>
      <c r="B36" s="376"/>
      <c r="C36" s="364"/>
      <c r="D36" s="364"/>
      <c r="E36" s="364"/>
      <c r="G36" s="364"/>
      <c r="H36" s="364"/>
      <c r="I36" s="364"/>
      <c r="J36" s="464"/>
      <c r="K36" s="466"/>
      <c r="L36" s="355"/>
      <c r="M36" s="356"/>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row>
    <row r="37" spans="1:36" ht="15.6">
      <c r="A37" s="355"/>
      <c r="B37" s="376"/>
      <c r="C37" s="362" t="s">
        <v>200</v>
      </c>
      <c r="D37" s="364"/>
      <c r="E37" s="364"/>
      <c r="G37" s="364"/>
      <c r="H37" s="362" t="s">
        <v>211</v>
      </c>
      <c r="I37" s="364"/>
      <c r="J37" s="364"/>
      <c r="K37" s="466"/>
      <c r="L37" s="355"/>
      <c r="M37" s="356"/>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row>
    <row r="38" spans="1:36" ht="15.6">
      <c r="A38" s="355"/>
      <c r="B38" s="376"/>
      <c r="C38" s="364" t="s">
        <v>12</v>
      </c>
      <c r="D38" s="431" t="s">
        <v>169</v>
      </c>
      <c r="E38" s="442"/>
      <c r="G38" s="364"/>
      <c r="H38" s="364" t="s">
        <v>210</v>
      </c>
      <c r="I38" s="431">
        <v>2023</v>
      </c>
      <c r="J38" s="364"/>
      <c r="K38" s="466"/>
      <c r="L38" s="355"/>
      <c r="M38" s="356"/>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row>
    <row r="39" spans="1:36" ht="15.6">
      <c r="A39" s="355"/>
      <c r="B39" s="376"/>
      <c r="C39" s="365" t="s">
        <v>402</v>
      </c>
      <c r="D39" s="470" t="s">
        <v>338</v>
      </c>
      <c r="E39" s="470"/>
      <c r="G39" s="364"/>
      <c r="H39" s="364"/>
      <c r="I39" s="364"/>
      <c r="J39" s="364"/>
      <c r="K39" s="466"/>
      <c r="L39" s="355"/>
      <c r="M39" s="356"/>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row>
    <row r="40" spans="1:36" ht="15.6">
      <c r="A40" s="355"/>
      <c r="B40" s="376"/>
      <c r="C40" s="365"/>
      <c r="D40" s="470"/>
      <c r="E40" s="470"/>
      <c r="G40" s="364"/>
      <c r="H40" s="362" t="s">
        <v>203</v>
      </c>
      <c r="I40" s="364"/>
      <c r="J40" s="364"/>
      <c r="K40" s="466"/>
      <c r="L40" s="355"/>
      <c r="M40" s="356"/>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row>
    <row r="41" spans="1:36" ht="15.6">
      <c r="A41" s="355"/>
      <c r="B41" s="376"/>
      <c r="C41" s="366" t="str">
        <f ca="1">IF(_xlfn.IFERROR(VLOOKUP(D39,INDIRECT(D38&amp;"[Table]"),1,FALSE),"FALSE")="FALSE","NOTE: Selected SUA not found in selected state/territory","")</f>
        <v/>
      </c>
      <c r="D41" s="366"/>
      <c r="E41" s="366"/>
      <c r="G41" s="364"/>
      <c r="H41" s="365" t="s">
        <v>202</v>
      </c>
      <c r="I41" s="444">
        <v>0.7499</v>
      </c>
      <c r="J41" s="364"/>
      <c r="K41" s="466"/>
      <c r="L41" s="355"/>
      <c r="M41" s="356"/>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row>
    <row r="42" spans="1:36" ht="15.6">
      <c r="A42" s="355"/>
      <c r="B42" s="376"/>
      <c r="C42" s="344"/>
      <c r="D42" s="344"/>
      <c r="E42" s="344"/>
      <c r="G42" s="364"/>
      <c r="H42" s="364"/>
      <c r="I42" s="364"/>
      <c r="J42" s="364"/>
      <c r="K42" s="466"/>
      <c r="L42" s="355"/>
      <c r="M42" s="356"/>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row>
    <row r="43" spans="1:36" ht="15.6">
      <c r="A43" s="355"/>
      <c r="B43" s="376"/>
      <c r="C43" s="362" t="s">
        <v>597</v>
      </c>
      <c r="D43" s="344"/>
      <c r="E43" s="344"/>
      <c r="G43" s="344"/>
      <c r="H43" s="344"/>
      <c r="I43" s="344"/>
      <c r="J43" s="344"/>
      <c r="K43" s="466"/>
      <c r="L43" s="355"/>
      <c r="M43" s="356"/>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row>
    <row r="44" spans="1:36" ht="15.6">
      <c r="A44" s="355"/>
      <c r="B44" s="376"/>
      <c r="C44" s="362" t="s">
        <v>201</v>
      </c>
      <c r="D44" s="364"/>
      <c r="E44" s="364"/>
      <c r="G44" s="364"/>
      <c r="H44" s="367"/>
      <c r="I44" s="364"/>
      <c r="J44" s="364"/>
      <c r="K44" s="466"/>
      <c r="L44" s="355"/>
      <c r="M44" s="356"/>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row>
    <row r="45" spans="1:36" ht="31.2">
      <c r="A45" s="355"/>
      <c r="B45" s="375"/>
      <c r="C45" s="368" t="s">
        <v>206</v>
      </c>
      <c r="D45" s="363" t="str">
        <f>IF($D$34="Yes","User","Not Used")</f>
        <v>User</v>
      </c>
      <c r="E45" s="363" t="s">
        <v>204</v>
      </c>
      <c r="G45" s="361"/>
      <c r="H45" s="368" t="s">
        <v>205</v>
      </c>
      <c r="I45" s="363" t="str">
        <f>IF($D$34="Yes","User","Not Used")</f>
        <v>User</v>
      </c>
      <c r="J45" s="363" t="s">
        <v>204</v>
      </c>
      <c r="K45" s="466"/>
      <c r="L45" s="355"/>
      <c r="M45" s="357"/>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row>
    <row r="46" spans="1:36" ht="15.6">
      <c r="A46" s="355"/>
      <c r="B46" s="376"/>
      <c r="C46" s="364" t="s">
        <v>6</v>
      </c>
      <c r="D46" s="445">
        <v>0</v>
      </c>
      <c r="E46" s="369">
        <f>ROUND(IF($D$34="Yes",D46,VLOOKUP($D$39,'Look-ups_2'!$B$4:$AB$113,7,FALSE)),0)</f>
        <v>0</v>
      </c>
      <c r="G46" s="364"/>
      <c r="H46" s="364" t="s">
        <v>10</v>
      </c>
      <c r="I46" s="445">
        <v>0</v>
      </c>
      <c r="J46" s="369">
        <f>ROUND(IF($D$34="Yes",I46,VLOOKUP($D$39,'Look-ups_2'!$B$4:$AB$113,13,FALSE)),0)</f>
        <v>0</v>
      </c>
      <c r="K46" s="466"/>
      <c r="L46" s="355"/>
      <c r="M46" s="356"/>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row>
    <row r="47" spans="1:36" ht="15.6">
      <c r="A47" s="355"/>
      <c r="B47" s="376"/>
      <c r="C47" s="364" t="s">
        <v>7</v>
      </c>
      <c r="D47" s="445">
        <v>0</v>
      </c>
      <c r="E47" s="369">
        <f>ROUND(IF($D$34="Yes",D47,VLOOKUP($D$39,'Look-ups_2'!$B$4:$AB$113,8,FALSE)),0)</f>
        <v>0</v>
      </c>
      <c r="G47" s="364"/>
      <c r="H47" s="364" t="s">
        <v>6</v>
      </c>
      <c r="I47" s="445">
        <v>0</v>
      </c>
      <c r="J47" s="369">
        <f>ROUND(IF($D$34="Yes",I47,VLOOKUP($D$39,'Look-ups_2'!$B$4:$AB$113,14,FALSE)),0)</f>
        <v>0</v>
      </c>
      <c r="K47" s="466"/>
      <c r="L47" s="355"/>
      <c r="M47" s="356"/>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row>
    <row r="48" spans="1:36" ht="15.6">
      <c r="A48" s="355"/>
      <c r="B48" s="376"/>
      <c r="C48" s="364" t="s">
        <v>8</v>
      </c>
      <c r="D48" s="445">
        <v>0</v>
      </c>
      <c r="E48" s="369">
        <f>ROUND(IF($D$34="Yes",D48,VLOOKUP($D$39,'Look-ups_2'!$B$4:$AB$113,9,FALSE)),0)</f>
        <v>0</v>
      </c>
      <c r="G48" s="364"/>
      <c r="H48" s="364" t="s">
        <v>7</v>
      </c>
      <c r="I48" s="445">
        <v>0</v>
      </c>
      <c r="J48" s="369">
        <f>ROUND(IF($D$34="Yes",I48,VLOOKUP($D$39,'Look-ups_2'!$B$4:$AB$113,15,FALSE)),0)</f>
        <v>0</v>
      </c>
      <c r="K48" s="466"/>
      <c r="L48" s="355"/>
      <c r="M48" s="356"/>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row>
    <row r="49" spans="1:36" ht="15.6">
      <c r="A49" s="355"/>
      <c r="B49" s="376"/>
      <c r="C49" s="364" t="s">
        <v>9</v>
      </c>
      <c r="D49" s="445">
        <v>0</v>
      </c>
      <c r="E49" s="369">
        <f>ROUND(IF($D$34="Yes",D49,VLOOKUP($D$39,'Look-ups_2'!$B$4:$AB$113,10,FALSE)),0)</f>
        <v>0</v>
      </c>
      <c r="G49" s="364"/>
      <c r="H49" s="364" t="s">
        <v>8</v>
      </c>
      <c r="I49" s="445">
        <v>0</v>
      </c>
      <c r="J49" s="369">
        <f>ROUND(IF($D$34="Yes",I49,VLOOKUP($D$39,'Look-ups_2'!$B$4:$AB$113,16,FALSE)),0)</f>
        <v>0</v>
      </c>
      <c r="K49" s="466"/>
      <c r="L49" s="355"/>
      <c r="M49" s="356"/>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row>
    <row r="50" spans="1:36" ht="15.6">
      <c r="A50" s="355"/>
      <c r="B50" s="375"/>
      <c r="C50" s="364" t="s">
        <v>11</v>
      </c>
      <c r="D50" s="445">
        <v>0</v>
      </c>
      <c r="E50" s="369">
        <f>ROUND(IF($D$34="Yes",D50,VLOOKUP($D$39,'Look-ups_2'!$B$4:$AB$113,11,FALSE)),0)</f>
        <v>0</v>
      </c>
      <c r="G50" s="364"/>
      <c r="H50" s="364" t="s">
        <v>9</v>
      </c>
      <c r="I50" s="445">
        <v>0</v>
      </c>
      <c r="J50" s="369">
        <f>ROUND(IF($D$34="Yes",I50,VLOOKUP($D$39,'Look-ups_2'!$B$4:$AB$113,17,FALSE)),0)</f>
        <v>0</v>
      </c>
      <c r="K50" s="466"/>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row>
    <row r="51" spans="1:36" ht="15.6">
      <c r="A51" s="355"/>
      <c r="B51" s="374"/>
      <c r="C51" s="361"/>
      <c r="D51" s="361"/>
      <c r="E51" s="361"/>
      <c r="G51" s="363"/>
      <c r="H51" s="361"/>
      <c r="I51" s="361"/>
      <c r="J51" s="361"/>
      <c r="K51" s="466"/>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row>
    <row r="52" spans="1:36" ht="15.6">
      <c r="A52" s="355"/>
      <c r="B52" s="374"/>
      <c r="C52" s="361"/>
      <c r="D52" s="361"/>
      <c r="E52" s="361"/>
      <c r="G52" s="363"/>
      <c r="H52" s="361"/>
      <c r="I52" s="361"/>
      <c r="J52" s="361"/>
      <c r="K52" s="466"/>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row>
    <row r="53" spans="1:36" ht="15.6">
      <c r="A53" s="355"/>
      <c r="B53" s="374"/>
      <c r="C53" s="361"/>
      <c r="D53" s="361"/>
      <c r="E53" s="361"/>
      <c r="G53" s="363"/>
      <c r="H53" s="361"/>
      <c r="I53" s="361"/>
      <c r="J53" s="361"/>
      <c r="K53" s="466"/>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row>
    <row r="54" spans="1:36" ht="15.6">
      <c r="A54" s="355"/>
      <c r="B54" s="375"/>
      <c r="C54" s="361"/>
      <c r="D54" s="361"/>
      <c r="E54" s="361"/>
      <c r="G54" s="361"/>
      <c r="H54" s="361"/>
      <c r="I54" s="361"/>
      <c r="J54" s="465"/>
      <c r="K54" s="466"/>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row>
    <row r="55" spans="1:36" ht="16.2" thickBot="1">
      <c r="A55" s="355"/>
      <c r="B55" s="378"/>
      <c r="C55" s="379"/>
      <c r="D55" s="379"/>
      <c r="E55" s="379"/>
      <c r="F55" s="380"/>
      <c r="G55" s="379"/>
      <c r="H55" s="381"/>
      <c r="I55" s="379"/>
      <c r="J55" s="379"/>
      <c r="K55" s="467"/>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row>
    <row r="56" spans="1:131" ht="15.6">
      <c r="A56" s="355"/>
      <c r="B56" s="355"/>
      <c r="C56" s="382"/>
      <c r="D56" s="382"/>
      <c r="E56" s="382"/>
      <c r="F56" s="355"/>
      <c r="G56" s="382"/>
      <c r="H56" s="382"/>
      <c r="I56" s="382"/>
      <c r="J56" s="382"/>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row>
    <row r="57" spans="1:36" ht="15" thickBot="1">
      <c r="A57" s="355"/>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row>
    <row r="58" spans="1:36" ht="30" customHeight="1">
      <c r="A58" s="355"/>
      <c r="B58" s="370"/>
      <c r="C58" s="371" t="s">
        <v>595</v>
      </c>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3"/>
      <c r="AB58" s="355"/>
      <c r="AC58" s="355"/>
      <c r="AD58" s="355"/>
      <c r="AE58" s="355"/>
      <c r="AF58" s="355"/>
      <c r="AG58" s="355"/>
      <c r="AH58" s="355"/>
      <c r="AI58" s="355"/>
      <c r="AJ58" s="355"/>
    </row>
    <row r="59" spans="1:36" ht="15.6">
      <c r="A59" s="355"/>
      <c r="B59" s="375"/>
      <c r="C59" s="363"/>
      <c r="I59" s="361"/>
      <c r="J59" s="361"/>
      <c r="M59" s="361"/>
      <c r="N59" s="361"/>
      <c r="U59" s="361"/>
      <c r="Y59" s="361"/>
      <c r="Z59" s="361"/>
      <c r="AA59" s="383"/>
      <c r="AB59" s="355"/>
      <c r="AC59" s="355"/>
      <c r="AD59" s="355"/>
      <c r="AE59" s="355"/>
      <c r="AF59" s="355"/>
      <c r="AG59" s="355"/>
      <c r="AH59" s="355"/>
      <c r="AI59" s="355"/>
      <c r="AJ59" s="355"/>
    </row>
    <row r="60" spans="1:36" ht="15.6">
      <c r="A60" s="355"/>
      <c r="B60" s="375"/>
      <c r="C60" s="362" t="s">
        <v>539</v>
      </c>
      <c r="F60" s="362" t="s">
        <v>501</v>
      </c>
      <c r="J60" s="361"/>
      <c r="M60" s="361"/>
      <c r="N60" s="362" t="s">
        <v>535</v>
      </c>
      <c r="U60" s="361"/>
      <c r="Y60" s="363" t="s">
        <v>596</v>
      </c>
      <c r="AA60" s="383"/>
      <c r="AB60" s="355"/>
      <c r="AC60" s="355"/>
      <c r="AD60" s="355"/>
      <c r="AE60" s="355"/>
      <c r="AF60" s="355"/>
      <c r="AG60" s="355"/>
      <c r="AH60" s="355"/>
      <c r="AI60" s="355"/>
      <c r="AJ60" s="355"/>
    </row>
    <row r="61" spans="1:36" ht="15.6">
      <c r="A61" s="355"/>
      <c r="B61" s="375"/>
      <c r="C61" s="364" t="s">
        <v>599</v>
      </c>
      <c r="F61" s="431">
        <v>0</v>
      </c>
      <c r="J61" s="361"/>
      <c r="M61" s="361"/>
      <c r="N61" s="389" t="s">
        <v>4</v>
      </c>
      <c r="U61" s="390" t="s">
        <v>207</v>
      </c>
      <c r="Y61" s="363" t="s">
        <v>639</v>
      </c>
      <c r="Z61" s="361"/>
      <c r="AA61" s="383"/>
      <c r="AB61" s="355"/>
      <c r="AC61" s="355"/>
      <c r="AD61" s="355"/>
      <c r="AE61" s="355"/>
      <c r="AF61" s="355"/>
      <c r="AG61" s="355"/>
      <c r="AH61" s="355"/>
      <c r="AI61" s="355"/>
      <c r="AJ61" s="355"/>
    </row>
    <row r="62" spans="1:36" ht="15.6">
      <c r="A62" s="355"/>
      <c r="B62" s="376"/>
      <c r="C62" s="364" t="s">
        <v>600</v>
      </c>
      <c r="F62" s="431">
        <v>0</v>
      </c>
      <c r="J62" s="364"/>
      <c r="M62" s="364"/>
      <c r="N62" s="364" t="s">
        <v>532</v>
      </c>
      <c r="U62" s="430">
        <v>0</v>
      </c>
      <c r="Y62" s="364" t="s">
        <v>244</v>
      </c>
      <c r="Z62" s="435">
        <v>90</v>
      </c>
      <c r="AA62" s="377"/>
      <c r="AB62" s="355"/>
      <c r="AC62" s="355"/>
      <c r="AD62" s="355"/>
      <c r="AE62" s="355"/>
      <c r="AF62" s="355"/>
      <c r="AG62" s="355"/>
      <c r="AH62" s="355"/>
      <c r="AI62" s="355"/>
      <c r="AJ62" s="355"/>
    </row>
    <row r="63" spans="1:36" ht="15.6">
      <c r="A63" s="355"/>
      <c r="B63" s="376"/>
      <c r="C63" s="344"/>
      <c r="I63" s="344"/>
      <c r="J63" s="344"/>
      <c r="M63" s="344"/>
      <c r="N63" s="364"/>
      <c r="U63" s="364"/>
      <c r="Y63" s="364"/>
      <c r="Z63" s="364"/>
      <c r="AA63" s="377"/>
      <c r="AB63" s="355"/>
      <c r="AC63" s="355"/>
      <c r="AD63" s="355"/>
      <c r="AE63" s="355"/>
      <c r="AF63" s="355"/>
      <c r="AG63" s="355"/>
      <c r="AH63" s="355"/>
      <c r="AI63" s="355"/>
      <c r="AJ63" s="355"/>
    </row>
    <row r="64" spans="1:36" ht="15.6">
      <c r="A64" s="355"/>
      <c r="B64" s="376"/>
      <c r="C64" s="344"/>
      <c r="I64" s="344"/>
      <c r="J64" s="344"/>
      <c r="M64" s="344"/>
      <c r="N64" s="389" t="s">
        <v>536</v>
      </c>
      <c r="U64" s="390" t="s">
        <v>207</v>
      </c>
      <c r="Y64" s="362" t="s">
        <v>245</v>
      </c>
      <c r="Z64" s="364"/>
      <c r="AA64" s="377"/>
      <c r="AB64" s="355"/>
      <c r="AC64" s="355"/>
      <c r="AD64" s="355"/>
      <c r="AE64" s="355"/>
      <c r="AF64" s="355"/>
      <c r="AG64" s="355"/>
      <c r="AH64" s="355"/>
      <c r="AI64" s="355"/>
      <c r="AJ64" s="355"/>
    </row>
    <row r="65" spans="1:36" ht="15.6">
      <c r="A65" s="355"/>
      <c r="B65" s="376"/>
      <c r="C65" s="344"/>
      <c r="I65" s="344"/>
      <c r="J65" s="344"/>
      <c r="M65" s="344"/>
      <c r="N65" s="364" t="s">
        <v>534</v>
      </c>
      <c r="U65" s="431">
        <v>0</v>
      </c>
      <c r="Y65" s="364" t="s">
        <v>246</v>
      </c>
      <c r="Z65" s="430">
        <v>1.4897</v>
      </c>
      <c r="AA65" s="377"/>
      <c r="AB65" s="355"/>
      <c r="AC65" s="355"/>
      <c r="AD65" s="355"/>
      <c r="AE65" s="355"/>
      <c r="AF65" s="355"/>
      <c r="AG65" s="355"/>
      <c r="AH65" s="355"/>
      <c r="AI65" s="355"/>
      <c r="AJ65" s="355"/>
    </row>
    <row r="66" spans="1:36" ht="15.6">
      <c r="A66" s="355"/>
      <c r="B66" s="376"/>
      <c r="C66" s="344"/>
      <c r="I66" s="344"/>
      <c r="J66" s="344"/>
      <c r="M66" s="344"/>
      <c r="N66" s="364" t="s">
        <v>533</v>
      </c>
      <c r="U66" s="431">
        <v>0</v>
      </c>
      <c r="Y66" s="364"/>
      <c r="Z66" s="364"/>
      <c r="AA66" s="377"/>
      <c r="AB66" s="355"/>
      <c r="AC66" s="355"/>
      <c r="AD66" s="355"/>
      <c r="AE66" s="355"/>
      <c r="AF66" s="355"/>
      <c r="AG66" s="355"/>
      <c r="AH66" s="355"/>
      <c r="AI66" s="355"/>
      <c r="AJ66" s="355"/>
    </row>
    <row r="67" spans="1:36" ht="15.6">
      <c r="A67" s="355"/>
      <c r="B67" s="376"/>
      <c r="C67" s="344"/>
      <c r="I67" s="344"/>
      <c r="J67" s="344"/>
      <c r="M67" s="344"/>
      <c r="N67" s="344"/>
      <c r="U67" s="344"/>
      <c r="Y67" s="362" t="s">
        <v>248</v>
      </c>
      <c r="Z67" s="364"/>
      <c r="AA67" s="377"/>
      <c r="AB67" s="355"/>
      <c r="AC67" s="355"/>
      <c r="AD67" s="355"/>
      <c r="AE67" s="355"/>
      <c r="AF67" s="355"/>
      <c r="AG67" s="355"/>
      <c r="AH67" s="355"/>
      <c r="AI67" s="355"/>
      <c r="AJ67" s="355"/>
    </row>
    <row r="68" spans="1:36" ht="16.05" customHeight="1">
      <c r="A68" s="355"/>
      <c r="B68" s="376"/>
      <c r="C68" s="390" t="s">
        <v>601</v>
      </c>
      <c r="I68" s="390"/>
      <c r="J68" s="390"/>
      <c r="M68" s="390"/>
      <c r="N68" s="362" t="s">
        <v>598</v>
      </c>
      <c r="U68" s="390"/>
      <c r="Y68" s="364" t="s">
        <v>249</v>
      </c>
      <c r="Z68" s="430">
        <v>48</v>
      </c>
      <c r="AA68" s="392"/>
      <c r="AB68" s="355"/>
      <c r="AC68" s="355"/>
      <c r="AD68" s="355"/>
      <c r="AE68" s="355"/>
      <c r="AF68" s="355"/>
      <c r="AG68" s="355"/>
      <c r="AH68" s="355"/>
      <c r="AI68" s="355"/>
      <c r="AJ68" s="355"/>
    </row>
    <row r="69" spans="1:36" ht="31.2">
      <c r="A69" s="355"/>
      <c r="B69" s="393"/>
      <c r="C69" s="362" t="s">
        <v>602</v>
      </c>
      <c r="I69" s="390" t="s">
        <v>208</v>
      </c>
      <c r="J69" s="390" t="s">
        <v>207</v>
      </c>
      <c r="M69" s="394"/>
      <c r="N69" s="389" t="s">
        <v>4</v>
      </c>
      <c r="U69" s="390" t="s">
        <v>207</v>
      </c>
      <c r="AA69" s="395"/>
      <c r="AB69" s="355"/>
      <c r="AC69" s="355"/>
      <c r="AD69" s="355"/>
      <c r="AE69" s="355"/>
      <c r="AF69" s="355"/>
      <c r="AG69" s="355"/>
      <c r="AH69" s="355"/>
      <c r="AI69" s="355"/>
      <c r="AJ69" s="355"/>
    </row>
    <row r="70" spans="1:36" ht="15.6">
      <c r="A70" s="355"/>
      <c r="B70" s="376"/>
      <c r="C70" s="364" t="s">
        <v>278</v>
      </c>
      <c r="I70" s="446">
        <v>0</v>
      </c>
      <c r="J70" s="433">
        <v>0</v>
      </c>
      <c r="M70" s="394"/>
      <c r="N70" s="364" t="s">
        <v>537</v>
      </c>
      <c r="U70" s="433">
        <v>0</v>
      </c>
      <c r="Y70" s="362" t="s">
        <v>272</v>
      </c>
      <c r="Z70" s="364"/>
      <c r="AA70" s="392"/>
      <c r="AB70" s="355"/>
      <c r="AC70" s="355"/>
      <c r="AD70" s="355"/>
      <c r="AE70" s="355"/>
      <c r="AF70" s="355"/>
      <c r="AG70" s="355"/>
      <c r="AH70" s="355"/>
      <c r="AI70" s="355"/>
      <c r="AJ70" s="355"/>
    </row>
    <row r="71" spans="1:36" ht="15.6">
      <c r="A71" s="355"/>
      <c r="B71" s="376"/>
      <c r="C71" s="364" t="s">
        <v>260</v>
      </c>
      <c r="I71" s="446">
        <v>0</v>
      </c>
      <c r="J71" s="364" t="str">
        <f>IF($I$71&gt;($I$70*$J$70),"Error","Ok")</f>
        <v>Ok</v>
      </c>
      <c r="M71" s="364"/>
      <c r="N71" s="364"/>
      <c r="U71" s="394"/>
      <c r="Y71" s="390" t="s">
        <v>273</v>
      </c>
      <c r="Z71" s="436">
        <v>0.3</v>
      </c>
      <c r="AA71" s="377"/>
      <c r="AB71" s="355"/>
      <c r="AC71" s="355"/>
      <c r="AD71" s="355"/>
      <c r="AE71" s="355"/>
      <c r="AF71" s="355"/>
      <c r="AG71" s="355"/>
      <c r="AH71" s="355"/>
      <c r="AI71" s="355"/>
      <c r="AJ71" s="355"/>
    </row>
    <row r="72" spans="1:36" ht="15.6">
      <c r="A72" s="355"/>
      <c r="B72" s="376"/>
      <c r="C72" s="364" t="s">
        <v>276</v>
      </c>
      <c r="I72" s="431">
        <v>0</v>
      </c>
      <c r="J72" s="430">
        <v>0</v>
      </c>
      <c r="M72" s="364"/>
      <c r="N72" s="389" t="s">
        <v>536</v>
      </c>
      <c r="U72" s="390" t="s">
        <v>207</v>
      </c>
      <c r="AA72" s="377"/>
      <c r="AB72" s="355"/>
      <c r="AC72" s="355"/>
      <c r="AD72" s="355"/>
      <c r="AE72" s="355"/>
      <c r="AF72" s="355"/>
      <c r="AG72" s="355"/>
      <c r="AH72" s="355"/>
      <c r="AI72" s="355"/>
      <c r="AJ72" s="355"/>
    </row>
    <row r="73" spans="1:36" ht="15.6">
      <c r="A73" s="355"/>
      <c r="B73" s="376"/>
      <c r="C73" s="361" t="s">
        <v>261</v>
      </c>
      <c r="I73" s="447">
        <v>0</v>
      </c>
      <c r="J73" s="361" t="str">
        <f>IF($I$73&gt;($I$72*$J$72),"Error","Ok")</f>
        <v>Ok</v>
      </c>
      <c r="M73" s="361"/>
      <c r="N73" s="361" t="s">
        <v>605</v>
      </c>
      <c r="U73" s="447">
        <v>0</v>
      </c>
      <c r="Y73" s="364"/>
      <c r="Z73" s="364"/>
      <c r="AA73" s="377"/>
      <c r="AB73" s="355"/>
      <c r="AC73" s="355"/>
      <c r="AD73" s="355"/>
      <c r="AE73" s="355"/>
      <c r="AF73" s="355"/>
      <c r="AG73" s="355"/>
      <c r="AH73" s="355"/>
      <c r="AI73" s="355"/>
      <c r="AJ73" s="355"/>
    </row>
    <row r="74" spans="1:36" ht="15.6">
      <c r="A74" s="355"/>
      <c r="B74" s="376"/>
      <c r="C74" s="361" t="s">
        <v>277</v>
      </c>
      <c r="I74" s="447">
        <v>0</v>
      </c>
      <c r="J74" s="434">
        <v>0</v>
      </c>
      <c r="M74" s="361"/>
      <c r="N74" s="361" t="s">
        <v>606</v>
      </c>
      <c r="U74" s="431">
        <v>0</v>
      </c>
      <c r="Y74" s="364"/>
      <c r="Z74" s="364"/>
      <c r="AA74" s="377"/>
      <c r="AB74" s="355"/>
      <c r="AC74" s="355"/>
      <c r="AD74" s="355"/>
      <c r="AE74" s="355"/>
      <c r="AF74" s="355"/>
      <c r="AG74" s="355"/>
      <c r="AH74" s="355"/>
      <c r="AI74" s="355"/>
      <c r="AJ74" s="355"/>
    </row>
    <row r="75" spans="1:36" ht="15.6">
      <c r="A75" s="355"/>
      <c r="B75" s="376"/>
      <c r="C75" s="364" t="s">
        <v>632</v>
      </c>
      <c r="I75" s="431">
        <v>0</v>
      </c>
      <c r="J75" s="364" t="str">
        <f>IF($I$75&gt;($I$74*$J$74),"Error","Ok")</f>
        <v>Ok</v>
      </c>
      <c r="M75" s="364"/>
      <c r="Y75" s="364"/>
      <c r="Z75" s="364"/>
      <c r="AA75" s="377"/>
      <c r="AB75" s="355"/>
      <c r="AC75" s="355"/>
      <c r="AD75" s="355"/>
      <c r="AE75" s="355"/>
      <c r="AF75" s="355"/>
      <c r="AG75" s="355"/>
      <c r="AH75" s="355"/>
      <c r="AI75" s="355"/>
      <c r="AJ75" s="355"/>
    </row>
    <row r="76" spans="1:36" ht="15.6">
      <c r="A76" s="355"/>
      <c r="B76" s="376"/>
      <c r="C76" s="364" t="s">
        <v>279</v>
      </c>
      <c r="I76" s="431">
        <v>0</v>
      </c>
      <c r="J76" s="364"/>
      <c r="M76" s="364"/>
      <c r="N76" s="391" t="s">
        <v>603</v>
      </c>
      <c r="Y76" s="364"/>
      <c r="Z76" s="364"/>
      <c r="AA76" s="377"/>
      <c r="AB76" s="355"/>
      <c r="AC76" s="355"/>
      <c r="AD76" s="355"/>
      <c r="AE76" s="355"/>
      <c r="AF76" s="355"/>
      <c r="AG76" s="355"/>
      <c r="AH76" s="355"/>
      <c r="AI76" s="355"/>
      <c r="AJ76" s="355"/>
    </row>
    <row r="77" spans="1:36" ht="15.6">
      <c r="A77" s="355"/>
      <c r="B77" s="376"/>
      <c r="C77" s="364" t="s">
        <v>643</v>
      </c>
      <c r="I77" s="431">
        <v>0</v>
      </c>
      <c r="J77" s="364"/>
      <c r="M77" s="364"/>
      <c r="N77" s="364" t="s">
        <v>604</v>
      </c>
      <c r="U77" s="430">
        <v>0</v>
      </c>
      <c r="Y77" s="364"/>
      <c r="Z77" s="364"/>
      <c r="AA77" s="377"/>
      <c r="AB77" s="355"/>
      <c r="AC77" s="355"/>
      <c r="AD77" s="355"/>
      <c r="AE77" s="355"/>
      <c r="AF77" s="355"/>
      <c r="AG77" s="355"/>
      <c r="AH77" s="355"/>
      <c r="AI77" s="355"/>
      <c r="AJ77" s="355"/>
    </row>
    <row r="78" spans="1:36" ht="15.6">
      <c r="A78" s="355"/>
      <c r="B78" s="376"/>
      <c r="C78" s="364" t="s">
        <v>424</v>
      </c>
      <c r="I78" s="431">
        <v>0</v>
      </c>
      <c r="J78" s="430">
        <v>0</v>
      </c>
      <c r="M78" s="364"/>
      <c r="Y78" s="364"/>
      <c r="Z78" s="364"/>
      <c r="AA78" s="377"/>
      <c r="AB78" s="355"/>
      <c r="AC78" s="355"/>
      <c r="AD78" s="355"/>
      <c r="AE78" s="355"/>
      <c r="AF78" s="355"/>
      <c r="AG78" s="355"/>
      <c r="AH78" s="355"/>
      <c r="AI78" s="355"/>
      <c r="AJ78" s="355"/>
    </row>
    <row r="79" spans="1:36" ht="15.6">
      <c r="A79" s="355"/>
      <c r="B79" s="375"/>
      <c r="Y79" s="364"/>
      <c r="Z79" s="364"/>
      <c r="AA79" s="377"/>
      <c r="AB79" s="355"/>
      <c r="AC79" s="355"/>
      <c r="AD79" s="355"/>
      <c r="AE79" s="355"/>
      <c r="AF79" s="355"/>
      <c r="AG79" s="355"/>
      <c r="AH79" s="355"/>
      <c r="AI79" s="355"/>
      <c r="AJ79" s="355"/>
    </row>
    <row r="80" spans="1:36" ht="15" thickBot="1">
      <c r="A80" s="355"/>
      <c r="B80" s="378"/>
      <c r="C80" s="380"/>
      <c r="D80" s="380"/>
      <c r="E80" s="380"/>
      <c r="F80" s="380"/>
      <c r="G80" s="380"/>
      <c r="H80" s="380"/>
      <c r="I80" s="380"/>
      <c r="J80" s="380"/>
      <c r="K80" s="380"/>
      <c r="L80" s="380"/>
      <c r="M80" s="380"/>
      <c r="N80" s="380"/>
      <c r="O80" s="380"/>
      <c r="P80" s="380"/>
      <c r="Q80" s="380"/>
      <c r="R80" s="380"/>
      <c r="S80" s="380"/>
      <c r="T80" s="380"/>
      <c r="U80" s="380"/>
      <c r="V80" s="380"/>
      <c r="W80" s="380"/>
      <c r="X80" s="380"/>
      <c r="Y80" s="380"/>
      <c r="Z80" s="380"/>
      <c r="AA80" s="388"/>
      <c r="AB80" s="355"/>
      <c r="AC80" s="355"/>
      <c r="AD80" s="355"/>
      <c r="AE80" s="355"/>
      <c r="AF80" s="355"/>
      <c r="AG80" s="355"/>
      <c r="AH80" s="355"/>
      <c r="AI80" s="355"/>
      <c r="AJ80" s="355"/>
    </row>
    <row r="81" spans="1:36" ht="15">
      <c r="A81" s="355"/>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row>
    <row r="82" spans="1:36" ht="15">
      <c r="A82" s="355"/>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row>
    <row r="83" spans="1:36" ht="15">
      <c r="A83" s="355"/>
      <c r="B83" s="355"/>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row>
    <row r="84" spans="1:36" ht="15">
      <c r="A84" s="355"/>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row>
    <row r="85" spans="1:36" ht="15">
      <c r="A85" s="355"/>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row>
    <row r="86" spans="1:36" ht="15">
      <c r="A86" s="355"/>
      <c r="B86" s="355"/>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5"/>
    </row>
    <row r="87" spans="1:36" ht="15">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row>
    <row r="88" spans="1:36" ht="15">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row>
    <row r="89" spans="1:36" ht="15">
      <c r="A89" s="355"/>
      <c r="B89" s="355"/>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row>
    <row r="90" spans="1:36" ht="15">
      <c r="A90" s="355"/>
      <c r="B90" s="355"/>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row>
    <row r="91" spans="1:36" ht="15">
      <c r="A91" s="355"/>
      <c r="B91" s="355"/>
      <c r="C91" s="355"/>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c r="AB91" s="355"/>
      <c r="AC91" s="355"/>
      <c r="AD91" s="355"/>
      <c r="AE91" s="355"/>
      <c r="AF91" s="355"/>
      <c r="AG91" s="355"/>
      <c r="AH91" s="355"/>
      <c r="AI91" s="355"/>
      <c r="AJ91" s="355"/>
    </row>
    <row r="92" spans="1:36" ht="15">
      <c r="A92" s="355"/>
      <c r="B92" s="355"/>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row>
    <row r="93" spans="1:36" ht="15">
      <c r="A93" s="355"/>
      <c r="B93" s="355"/>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row>
    <row r="94" spans="1:36" ht="15">
      <c r="A94" s="355"/>
      <c r="B94" s="355"/>
      <c r="C94" s="355"/>
      <c r="D94" s="355"/>
      <c r="E94" s="355"/>
      <c r="F94" s="355"/>
      <c r="G94" s="355"/>
      <c r="H94" s="355"/>
      <c r="I94" s="355"/>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row>
    <row r="95" spans="1:36" ht="15">
      <c r="A95" s="355"/>
      <c r="B95" s="355"/>
      <c r="C95" s="355"/>
      <c r="D95" s="355"/>
      <c r="E95" s="355"/>
      <c r="F95" s="355"/>
      <c r="G95" s="355"/>
      <c r="H95" s="355"/>
      <c r="I95" s="355"/>
      <c r="J95" s="355"/>
      <c r="K95" s="355"/>
      <c r="L95" s="355"/>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row>
    <row r="96" spans="1:36" ht="15">
      <c r="A96" s="355"/>
      <c r="B96" s="355"/>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row>
    <row r="97" spans="1:36" ht="15">
      <c r="A97" s="355"/>
      <c r="B97" s="355"/>
      <c r="C97" s="355"/>
      <c r="D97" s="355"/>
      <c r="E97" s="355"/>
      <c r="F97" s="355"/>
      <c r="G97" s="355"/>
      <c r="H97" s="355"/>
      <c r="I97" s="355"/>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row>
    <row r="98" spans="1:36" ht="15">
      <c r="A98" s="355"/>
      <c r="B98" s="355"/>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row>
    <row r="99" spans="1:36" ht="15">
      <c r="A99" s="355"/>
      <c r="B99" s="355"/>
      <c r="C99" s="355"/>
      <c r="D99" s="355"/>
      <c r="E99" s="355"/>
      <c r="F99" s="355"/>
      <c r="G99" s="355"/>
      <c r="H99" s="355"/>
      <c r="I99" s="355"/>
      <c r="J99" s="355"/>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355"/>
      <c r="AI99" s="355"/>
      <c r="AJ99" s="355"/>
    </row>
    <row r="100" spans="1:36" ht="15">
      <c r="A100" s="355"/>
      <c r="B100" s="355"/>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row>
    <row r="101" spans="1:36" ht="15">
      <c r="A101" s="355"/>
      <c r="B101" s="355"/>
      <c r="C101" s="355"/>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row>
    <row r="102" spans="1:36" ht="15">
      <c r="A102" s="355"/>
      <c r="B102" s="355"/>
      <c r="C102" s="355"/>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row>
    <row r="103" spans="1:36" ht="15">
      <c r="A103" s="355"/>
      <c r="B103" s="355"/>
      <c r="C103" s="355"/>
      <c r="D103" s="355"/>
      <c r="E103" s="355"/>
      <c r="F103" s="355"/>
      <c r="G103" s="355"/>
      <c r="H103" s="355"/>
      <c r="I103" s="355"/>
      <c r="J103" s="355"/>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row>
    <row r="104" spans="1:36" ht="15">
      <c r="A104" s="355"/>
      <c r="B104" s="355"/>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row>
    <row r="105" spans="1:36" ht="15">
      <c r="A105" s="355"/>
      <c r="B105" s="355"/>
      <c r="C105" s="355"/>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row>
    <row r="106" spans="1:36" ht="15">
      <c r="A106" s="355"/>
      <c r="B106" s="355"/>
      <c r="C106" s="355"/>
      <c r="D106" s="355"/>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355"/>
    </row>
    <row r="107" spans="1:36" ht="15">
      <c r="A107" s="355"/>
      <c r="B107" s="355"/>
      <c r="C107" s="355"/>
      <c r="D107" s="355"/>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5"/>
      <c r="AI107" s="355"/>
      <c r="AJ107" s="355"/>
    </row>
    <row r="108" spans="1:36" ht="15">
      <c r="A108" s="355"/>
      <c r="B108" s="355"/>
      <c r="C108" s="355"/>
      <c r="D108" s="355"/>
      <c r="E108" s="355"/>
      <c r="F108" s="355"/>
      <c r="G108" s="355"/>
      <c r="H108" s="355"/>
      <c r="I108" s="355"/>
      <c r="J108" s="355"/>
      <c r="K108" s="355"/>
      <c r="L108" s="355"/>
      <c r="M108" s="355"/>
      <c r="N108" s="355"/>
      <c r="O108" s="355"/>
      <c r="P108" s="355"/>
      <c r="Q108" s="355"/>
      <c r="R108" s="355"/>
      <c r="S108" s="355"/>
      <c r="T108" s="355"/>
      <c r="U108" s="355"/>
      <c r="V108" s="355"/>
      <c r="W108" s="355"/>
      <c r="X108" s="355"/>
      <c r="Y108" s="355"/>
      <c r="Z108" s="355"/>
      <c r="AA108" s="355"/>
      <c r="AB108" s="355"/>
      <c r="AC108" s="355"/>
      <c r="AD108" s="355"/>
      <c r="AE108" s="355"/>
      <c r="AF108" s="355"/>
      <c r="AG108" s="355"/>
      <c r="AH108" s="355"/>
      <c r="AI108" s="355"/>
      <c r="AJ108" s="355"/>
    </row>
    <row r="109" spans="1:36" ht="15">
      <c r="A109" s="355"/>
      <c r="B109" s="355"/>
      <c r="C109" s="355"/>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row>
    <row r="110" spans="1:36" ht="15">
      <c r="A110" s="355"/>
      <c r="B110" s="355"/>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row>
    <row r="111" spans="1:36" ht="15">
      <c r="A111" s="355"/>
      <c r="B111" s="355"/>
      <c r="C111" s="355"/>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row>
    <row r="112" spans="1:36" ht="15">
      <c r="A112" s="355"/>
      <c r="B112" s="355"/>
      <c r="C112" s="355"/>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55"/>
      <c r="AE112" s="355"/>
      <c r="AF112" s="355"/>
      <c r="AG112" s="355"/>
      <c r="AH112" s="355"/>
      <c r="AI112" s="355"/>
      <c r="AJ112" s="355"/>
    </row>
    <row r="113" spans="1:36" ht="15">
      <c r="A113" s="355"/>
      <c r="B113" s="355"/>
      <c r="C113" s="355"/>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55"/>
      <c r="AE113" s="355"/>
      <c r="AF113" s="355"/>
      <c r="AG113" s="355"/>
      <c r="AH113" s="355"/>
      <c r="AI113" s="355"/>
      <c r="AJ113" s="355"/>
    </row>
    <row r="114" spans="1:36" ht="15">
      <c r="A114" s="355"/>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row>
    <row r="115" spans="1:36" ht="15">
      <c r="A115" s="355"/>
      <c r="B115" s="355"/>
      <c r="C115" s="355"/>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55"/>
      <c r="AD115" s="355"/>
      <c r="AE115" s="355"/>
      <c r="AF115" s="355"/>
      <c r="AG115" s="355"/>
      <c r="AH115" s="355"/>
      <c r="AI115" s="355"/>
      <c r="AJ115" s="355"/>
    </row>
    <row r="116" spans="1:36" ht="15">
      <c r="A116" s="355"/>
      <c r="B116" s="355"/>
      <c r="C116" s="355"/>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355"/>
    </row>
    <row r="117" spans="1:36" ht="15">
      <c r="A117" s="355"/>
      <c r="B117" s="355"/>
      <c r="C117" s="355"/>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5"/>
      <c r="AG117" s="355"/>
      <c r="AH117" s="355"/>
      <c r="AI117" s="355"/>
      <c r="AJ117" s="355"/>
    </row>
    <row r="118" spans="1:36" ht="15">
      <c r="A118" s="355"/>
      <c r="B118" s="355"/>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c r="AI118" s="355"/>
      <c r="AJ118" s="355"/>
    </row>
    <row r="119" spans="1:36" ht="15">
      <c r="A119" s="355"/>
      <c r="B119" s="355"/>
      <c r="C119" s="355"/>
      <c r="D119" s="355"/>
      <c r="E119" s="355"/>
      <c r="F119" s="355"/>
      <c r="G119" s="355"/>
      <c r="H119" s="355"/>
      <c r="I119" s="355"/>
      <c r="J119" s="355"/>
      <c r="K119" s="355"/>
      <c r="L119" s="355"/>
      <c r="M119" s="355"/>
      <c r="N119" s="355"/>
      <c r="O119" s="355"/>
      <c r="P119" s="355"/>
      <c r="Q119" s="355"/>
      <c r="R119" s="355"/>
      <c r="S119" s="355"/>
      <c r="T119" s="355"/>
      <c r="U119" s="355"/>
      <c r="V119" s="355"/>
      <c r="W119" s="355"/>
      <c r="X119" s="355"/>
      <c r="Y119" s="355"/>
      <c r="Z119" s="355"/>
      <c r="AA119" s="355"/>
      <c r="AB119" s="355"/>
      <c r="AC119" s="355"/>
      <c r="AD119" s="355"/>
      <c r="AE119" s="355"/>
      <c r="AF119" s="355"/>
      <c r="AG119" s="355"/>
      <c r="AH119" s="355"/>
      <c r="AI119" s="355"/>
      <c r="AJ119" s="355"/>
    </row>
    <row r="120" spans="1:36" ht="15">
      <c r="A120" s="355"/>
      <c r="B120" s="355"/>
      <c r="C120" s="355"/>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row>
    <row r="121" spans="1:36" ht="15">
      <c r="A121" s="355"/>
      <c r="B121" s="355"/>
      <c r="C121" s="355"/>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55"/>
      <c r="AE121" s="355"/>
      <c r="AF121" s="355"/>
      <c r="AG121" s="355"/>
      <c r="AH121" s="355"/>
      <c r="AI121" s="355"/>
      <c r="AJ121" s="355"/>
    </row>
    <row r="122" spans="1:36" ht="15">
      <c r="A122" s="355"/>
      <c r="B122" s="355"/>
      <c r="C122" s="355"/>
      <c r="D122" s="355"/>
      <c r="E122" s="355"/>
      <c r="F122" s="355"/>
      <c r="G122" s="355"/>
      <c r="H122" s="355"/>
      <c r="I122" s="355"/>
      <c r="J122" s="355"/>
      <c r="K122" s="355"/>
      <c r="L122" s="355"/>
      <c r="M122" s="355"/>
      <c r="N122" s="355"/>
      <c r="O122" s="355"/>
      <c r="P122" s="355"/>
      <c r="Q122" s="355"/>
      <c r="R122" s="355"/>
      <c r="S122" s="355"/>
      <c r="T122" s="355"/>
      <c r="U122" s="355"/>
      <c r="V122" s="355"/>
      <c r="W122" s="355"/>
      <c r="X122" s="355"/>
      <c r="Y122" s="355"/>
      <c r="Z122" s="355"/>
      <c r="AA122" s="355"/>
      <c r="AB122" s="355"/>
      <c r="AC122" s="355"/>
      <c r="AD122" s="355"/>
      <c r="AE122" s="355"/>
      <c r="AF122" s="355"/>
      <c r="AG122" s="355"/>
      <c r="AH122" s="355"/>
      <c r="AI122" s="355"/>
      <c r="AJ122" s="355"/>
    </row>
    <row r="123" spans="1:36" ht="15">
      <c r="A123" s="355"/>
      <c r="B123" s="355"/>
      <c r="C123" s="355"/>
      <c r="D123" s="355"/>
      <c r="E123" s="355"/>
      <c r="F123" s="355"/>
      <c r="G123" s="355"/>
      <c r="H123" s="355"/>
      <c r="I123" s="355"/>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355"/>
      <c r="AF123" s="355"/>
      <c r="AG123" s="355"/>
      <c r="AH123" s="355"/>
      <c r="AI123" s="355"/>
      <c r="AJ123" s="355"/>
    </row>
    <row r="124" spans="1:36" ht="15">
      <c r="A124" s="355"/>
      <c r="B124" s="355"/>
      <c r="C124" s="355"/>
      <c r="D124" s="355"/>
      <c r="E124" s="355"/>
      <c r="F124" s="355"/>
      <c r="G124" s="355"/>
      <c r="H124" s="355"/>
      <c r="I124" s="355"/>
      <c r="J124" s="355"/>
      <c r="K124" s="355"/>
      <c r="L124" s="355"/>
      <c r="M124" s="355"/>
      <c r="N124" s="355"/>
      <c r="O124" s="355"/>
      <c r="P124" s="355"/>
      <c r="Q124" s="355"/>
      <c r="R124" s="355"/>
      <c r="S124" s="355"/>
      <c r="T124" s="355"/>
      <c r="U124" s="355"/>
      <c r="V124" s="355"/>
      <c r="W124" s="355"/>
      <c r="X124" s="355"/>
      <c r="Y124" s="355"/>
      <c r="Z124" s="355"/>
      <c r="AA124" s="355"/>
      <c r="AB124" s="355"/>
      <c r="AC124" s="355"/>
      <c r="AD124" s="355"/>
      <c r="AE124" s="355"/>
      <c r="AF124" s="355"/>
      <c r="AG124" s="355"/>
      <c r="AH124" s="355"/>
      <c r="AI124" s="355"/>
      <c r="AJ124" s="355"/>
    </row>
    <row r="125" spans="1:36" ht="15">
      <c r="A125" s="355"/>
      <c r="B125" s="355"/>
      <c r="C125" s="355"/>
      <c r="D125" s="355"/>
      <c r="E125" s="355"/>
      <c r="F125" s="355"/>
      <c r="G125" s="355"/>
      <c r="H125" s="355"/>
      <c r="I125" s="355"/>
      <c r="J125" s="355"/>
      <c r="K125" s="355"/>
      <c r="L125" s="355"/>
      <c r="M125" s="355"/>
      <c r="N125" s="355"/>
      <c r="O125" s="355"/>
      <c r="P125" s="355"/>
      <c r="Q125" s="355"/>
      <c r="R125" s="355"/>
      <c r="S125" s="355"/>
      <c r="T125" s="355"/>
      <c r="U125" s="355"/>
      <c r="V125" s="355"/>
      <c r="W125" s="355"/>
      <c r="X125" s="355"/>
      <c r="Y125" s="355"/>
      <c r="Z125" s="355"/>
      <c r="AA125" s="355"/>
      <c r="AB125" s="355"/>
      <c r="AC125" s="355"/>
      <c r="AD125" s="355"/>
      <c r="AE125" s="355"/>
      <c r="AF125" s="355"/>
      <c r="AG125" s="355"/>
      <c r="AH125" s="355"/>
      <c r="AI125" s="355"/>
      <c r="AJ125" s="355"/>
    </row>
    <row r="126" spans="1:36" ht="15">
      <c r="A126" s="355"/>
      <c r="B126" s="355"/>
      <c r="C126" s="355"/>
      <c r="D126" s="355"/>
      <c r="E126" s="355"/>
      <c r="F126" s="355"/>
      <c r="G126" s="355"/>
      <c r="H126" s="355"/>
      <c r="I126" s="355"/>
      <c r="J126" s="355"/>
      <c r="K126" s="355"/>
      <c r="L126" s="355"/>
      <c r="M126" s="355"/>
      <c r="N126" s="355"/>
      <c r="O126" s="355"/>
      <c r="P126" s="355"/>
      <c r="Q126" s="355"/>
      <c r="R126" s="355"/>
      <c r="S126" s="355"/>
      <c r="T126" s="355"/>
      <c r="U126" s="355"/>
      <c r="V126" s="355"/>
      <c r="W126" s="355"/>
      <c r="X126" s="355"/>
      <c r="Y126" s="355"/>
      <c r="Z126" s="355"/>
      <c r="AA126" s="355"/>
      <c r="AB126" s="355"/>
      <c r="AC126" s="355"/>
      <c r="AD126" s="355"/>
      <c r="AE126" s="355"/>
      <c r="AF126" s="355"/>
      <c r="AG126" s="355"/>
      <c r="AH126" s="355"/>
      <c r="AI126" s="355"/>
      <c r="AJ126" s="355"/>
    </row>
    <row r="127" spans="1:36" ht="15">
      <c r="A127" s="355"/>
      <c r="B127" s="355"/>
      <c r="C127" s="355"/>
      <c r="D127" s="355"/>
      <c r="E127" s="355"/>
      <c r="F127" s="355"/>
      <c r="G127" s="355"/>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row>
    <row r="128" spans="1:36" ht="15">
      <c r="A128" s="355"/>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row>
    <row r="129" spans="1:36" ht="15">
      <c r="A129" s="355"/>
      <c r="B129" s="355"/>
      <c r="C129" s="355"/>
      <c r="D129" s="355"/>
      <c r="E129" s="355"/>
      <c r="F129" s="355"/>
      <c r="G129" s="355"/>
      <c r="H129" s="355"/>
      <c r="I129" s="355"/>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5"/>
      <c r="AF129" s="355"/>
      <c r="AG129" s="355"/>
      <c r="AH129" s="355"/>
      <c r="AI129" s="355"/>
      <c r="AJ129" s="355"/>
    </row>
    <row r="130" spans="1:36" ht="15">
      <c r="A130" s="355"/>
      <c r="B130" s="355"/>
      <c r="C130" s="355"/>
      <c r="D130" s="355"/>
      <c r="E130" s="355"/>
      <c r="F130" s="355"/>
      <c r="G130" s="355"/>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row>
    <row r="131" spans="1:36" ht="15">
      <c r="A131" s="355"/>
      <c r="B131" s="355"/>
      <c r="C131" s="355"/>
      <c r="D131" s="355"/>
      <c r="E131" s="355"/>
      <c r="F131" s="355"/>
      <c r="G131" s="355"/>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row>
    <row r="132" spans="1:36" ht="15">
      <c r="A132" s="355"/>
      <c r="B132" s="355"/>
      <c r="C132" s="355"/>
      <c r="D132" s="355"/>
      <c r="E132" s="355"/>
      <c r="F132" s="355"/>
      <c r="G132" s="355"/>
      <c r="H132" s="355"/>
      <c r="I132" s="355"/>
      <c r="J132" s="355"/>
      <c r="K132" s="355"/>
      <c r="L132" s="355"/>
      <c r="M132" s="355"/>
      <c r="N132" s="355"/>
      <c r="O132" s="355"/>
      <c r="P132" s="355"/>
      <c r="Q132" s="355"/>
      <c r="R132" s="355"/>
      <c r="S132" s="355"/>
      <c r="T132" s="355"/>
      <c r="U132" s="355"/>
      <c r="V132" s="355"/>
      <c r="W132" s="355"/>
      <c r="X132" s="355"/>
      <c r="Y132" s="355"/>
      <c r="Z132" s="355"/>
      <c r="AA132" s="355"/>
      <c r="AB132" s="355"/>
      <c r="AC132" s="355"/>
      <c r="AD132" s="355"/>
      <c r="AE132" s="355"/>
      <c r="AF132" s="355"/>
      <c r="AG132" s="355"/>
      <c r="AH132" s="355"/>
      <c r="AI132" s="355"/>
      <c r="AJ132" s="355"/>
    </row>
    <row r="133" spans="1:36" ht="15">
      <c r="A133" s="355"/>
      <c r="B133" s="355"/>
      <c r="C133" s="355"/>
      <c r="D133" s="355"/>
      <c r="E133" s="355"/>
      <c r="F133" s="355"/>
      <c r="G133" s="355"/>
      <c r="H133" s="355"/>
      <c r="I133" s="355"/>
      <c r="J133" s="355"/>
      <c r="K133" s="355"/>
      <c r="L133" s="355"/>
      <c r="M133" s="355"/>
      <c r="N133" s="355"/>
      <c r="O133" s="355"/>
      <c r="P133" s="355"/>
      <c r="Q133" s="355"/>
      <c r="R133" s="355"/>
      <c r="S133" s="355"/>
      <c r="T133" s="355"/>
      <c r="U133" s="355"/>
      <c r="V133" s="355"/>
      <c r="W133" s="355"/>
      <c r="X133" s="355"/>
      <c r="Y133" s="355"/>
      <c r="Z133" s="355"/>
      <c r="AA133" s="355"/>
      <c r="AB133" s="355"/>
      <c r="AC133" s="355"/>
      <c r="AD133" s="355"/>
      <c r="AE133" s="355"/>
      <c r="AF133" s="355"/>
      <c r="AG133" s="355"/>
      <c r="AH133" s="355"/>
      <c r="AI133" s="355"/>
      <c r="AJ133" s="355"/>
    </row>
    <row r="134" spans="1:36" ht="15">
      <c r="A134" s="355"/>
      <c r="B134" s="355"/>
      <c r="C134" s="355"/>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355"/>
      <c r="Z134" s="355"/>
      <c r="AA134" s="355"/>
      <c r="AB134" s="355"/>
      <c r="AC134" s="355"/>
      <c r="AD134" s="355"/>
      <c r="AE134" s="355"/>
      <c r="AF134" s="355"/>
      <c r="AG134" s="355"/>
      <c r="AH134" s="355"/>
      <c r="AI134" s="355"/>
      <c r="AJ134" s="355"/>
    </row>
    <row r="135" spans="1:36" ht="15">
      <c r="A135" s="355"/>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row>
    <row r="136" spans="1:36" ht="15">
      <c r="A136" s="355"/>
      <c r="B136" s="355"/>
      <c r="C136" s="355"/>
      <c r="D136" s="355"/>
      <c r="E136" s="355"/>
      <c r="F136" s="355"/>
      <c r="G136" s="355"/>
      <c r="H136" s="355"/>
      <c r="I136" s="355"/>
      <c r="J136" s="355"/>
      <c r="K136" s="355"/>
      <c r="L136" s="355"/>
      <c r="M136" s="355"/>
      <c r="N136" s="355"/>
      <c r="O136" s="355"/>
      <c r="P136" s="355"/>
      <c r="Q136" s="355"/>
      <c r="R136" s="355"/>
      <c r="S136" s="355"/>
      <c r="T136" s="355"/>
      <c r="U136" s="355"/>
      <c r="V136" s="355"/>
      <c r="W136" s="355"/>
      <c r="X136" s="355"/>
      <c r="Y136" s="355"/>
      <c r="Z136" s="355"/>
      <c r="AA136" s="355"/>
      <c r="AB136" s="355"/>
      <c r="AC136" s="355"/>
      <c r="AD136" s="355"/>
      <c r="AE136" s="355"/>
      <c r="AF136" s="355"/>
      <c r="AG136" s="355"/>
      <c r="AH136" s="355"/>
      <c r="AI136" s="355"/>
      <c r="AJ136" s="355"/>
    </row>
    <row r="137" spans="1:36" ht="15">
      <c r="A137" s="355"/>
      <c r="B137" s="355"/>
      <c r="C137" s="355"/>
      <c r="D137" s="355"/>
      <c r="E137" s="355"/>
      <c r="F137" s="355"/>
      <c r="G137" s="355"/>
      <c r="H137" s="355"/>
      <c r="I137" s="355"/>
      <c r="J137" s="355"/>
      <c r="K137" s="355"/>
      <c r="L137" s="355"/>
      <c r="M137" s="355"/>
      <c r="N137" s="355"/>
      <c r="O137" s="355"/>
      <c r="P137" s="355"/>
      <c r="Q137" s="355"/>
      <c r="R137" s="355"/>
      <c r="S137" s="355"/>
      <c r="T137" s="355"/>
      <c r="U137" s="355"/>
      <c r="V137" s="355"/>
      <c r="W137" s="355"/>
      <c r="X137" s="355"/>
      <c r="Y137" s="355"/>
      <c r="Z137" s="355"/>
      <c r="AA137" s="355"/>
      <c r="AB137" s="355"/>
      <c r="AC137" s="355"/>
      <c r="AD137" s="355"/>
      <c r="AE137" s="355"/>
      <c r="AF137" s="355"/>
      <c r="AG137" s="355"/>
      <c r="AH137" s="355"/>
      <c r="AI137" s="355"/>
      <c r="AJ137" s="355"/>
    </row>
    <row r="138" spans="1:36" ht="15">
      <c r="A138" s="355"/>
      <c r="B138" s="355"/>
      <c r="C138" s="355"/>
      <c r="D138" s="355"/>
      <c r="E138" s="355"/>
      <c r="F138" s="355"/>
      <c r="G138" s="355"/>
      <c r="H138" s="355"/>
      <c r="I138" s="355"/>
      <c r="J138" s="355"/>
      <c r="K138" s="355"/>
      <c r="L138" s="355"/>
      <c r="M138" s="355"/>
      <c r="N138" s="355"/>
      <c r="O138" s="355"/>
      <c r="P138" s="355"/>
      <c r="Q138" s="355"/>
      <c r="R138" s="355"/>
      <c r="S138" s="355"/>
      <c r="T138" s="355"/>
      <c r="U138" s="355"/>
      <c r="V138" s="355"/>
      <c r="W138" s="355"/>
      <c r="X138" s="355"/>
      <c r="Y138" s="355"/>
      <c r="Z138" s="355"/>
      <c r="AA138" s="355"/>
      <c r="AB138" s="355"/>
      <c r="AC138" s="355"/>
      <c r="AD138" s="355"/>
      <c r="AE138" s="355"/>
      <c r="AF138" s="355"/>
      <c r="AG138" s="355"/>
      <c r="AH138" s="355"/>
      <c r="AI138" s="355"/>
      <c r="AJ138" s="355"/>
    </row>
    <row r="139" spans="1:36" ht="15">
      <c r="A139" s="355"/>
      <c r="B139" s="355"/>
      <c r="C139" s="355"/>
      <c r="D139" s="355"/>
      <c r="E139" s="355"/>
      <c r="F139" s="355"/>
      <c r="G139" s="355"/>
      <c r="H139" s="355"/>
      <c r="I139" s="355"/>
      <c r="J139" s="355"/>
      <c r="K139" s="355"/>
      <c r="L139" s="355"/>
      <c r="M139" s="355"/>
      <c r="N139" s="355"/>
      <c r="O139" s="355"/>
      <c r="P139" s="355"/>
      <c r="Q139" s="355"/>
      <c r="R139" s="355"/>
      <c r="S139" s="355"/>
      <c r="T139" s="355"/>
      <c r="U139" s="355"/>
      <c r="V139" s="355"/>
      <c r="W139" s="355"/>
      <c r="X139" s="355"/>
      <c r="Y139" s="355"/>
      <c r="Z139" s="355"/>
      <c r="AA139" s="355"/>
      <c r="AB139" s="355"/>
      <c r="AC139" s="355"/>
      <c r="AD139" s="355"/>
      <c r="AE139" s="355"/>
      <c r="AF139" s="355"/>
      <c r="AG139" s="355"/>
      <c r="AH139" s="355"/>
      <c r="AI139" s="355"/>
      <c r="AJ139" s="355"/>
    </row>
    <row r="140" spans="1:36" ht="15">
      <c r="A140" s="355"/>
      <c r="B140" s="355"/>
      <c r="C140" s="355"/>
      <c r="D140" s="355"/>
      <c r="E140" s="355"/>
      <c r="F140" s="355"/>
      <c r="G140" s="355"/>
      <c r="H140" s="355"/>
      <c r="I140" s="355"/>
      <c r="J140" s="355"/>
      <c r="K140" s="355"/>
      <c r="L140" s="355"/>
      <c r="M140" s="355"/>
      <c r="N140" s="355"/>
      <c r="O140" s="355"/>
      <c r="P140" s="355"/>
      <c r="Q140" s="355"/>
      <c r="R140" s="355"/>
      <c r="S140" s="355"/>
      <c r="T140" s="355"/>
      <c r="U140" s="355"/>
      <c r="V140" s="355"/>
      <c r="W140" s="355"/>
      <c r="X140" s="355"/>
      <c r="Y140" s="355"/>
      <c r="Z140" s="355"/>
      <c r="AA140" s="355"/>
      <c r="AB140" s="355"/>
      <c r="AC140" s="355"/>
      <c r="AD140" s="355"/>
      <c r="AE140" s="355"/>
      <c r="AF140" s="355"/>
      <c r="AG140" s="355"/>
      <c r="AH140" s="355"/>
      <c r="AI140" s="355"/>
      <c r="AJ140" s="355"/>
    </row>
    <row r="141" spans="1:36" ht="15">
      <c r="A141" s="355"/>
      <c r="B141" s="355"/>
      <c r="C141" s="355"/>
      <c r="D141" s="355"/>
      <c r="E141" s="355"/>
      <c r="F141" s="355"/>
      <c r="G141" s="355"/>
      <c r="H141" s="355"/>
      <c r="I141" s="355"/>
      <c r="J141" s="355"/>
      <c r="K141" s="355"/>
      <c r="L141" s="355"/>
      <c r="M141" s="355"/>
      <c r="N141" s="355"/>
      <c r="O141" s="355"/>
      <c r="P141" s="355"/>
      <c r="Q141" s="355"/>
      <c r="R141" s="355"/>
      <c r="S141" s="355"/>
      <c r="T141" s="355"/>
      <c r="U141" s="355"/>
      <c r="V141" s="355"/>
      <c r="W141" s="355"/>
      <c r="X141" s="355"/>
      <c r="Y141" s="355"/>
      <c r="Z141" s="355"/>
      <c r="AA141" s="355"/>
      <c r="AB141" s="355"/>
      <c r="AC141" s="355"/>
      <c r="AD141" s="355"/>
      <c r="AE141" s="355"/>
      <c r="AF141" s="355"/>
      <c r="AG141" s="355"/>
      <c r="AH141" s="355"/>
      <c r="AI141" s="355"/>
      <c r="AJ141" s="355"/>
    </row>
    <row r="142" spans="1:36" ht="15">
      <c r="A142" s="355"/>
      <c r="B142" s="355"/>
      <c r="C142" s="355"/>
      <c r="D142" s="355"/>
      <c r="E142" s="355"/>
      <c r="F142" s="355"/>
      <c r="G142" s="355"/>
      <c r="H142" s="355"/>
      <c r="I142" s="355"/>
      <c r="J142" s="355"/>
      <c r="K142" s="355"/>
      <c r="L142" s="355"/>
      <c r="M142" s="355"/>
      <c r="N142" s="355"/>
      <c r="O142" s="355"/>
      <c r="P142" s="355"/>
      <c r="Q142" s="355"/>
      <c r="R142" s="355"/>
      <c r="S142" s="355"/>
      <c r="T142" s="355"/>
      <c r="U142" s="355"/>
      <c r="V142" s="355"/>
      <c r="W142" s="355"/>
      <c r="X142" s="355"/>
      <c r="Y142" s="355"/>
      <c r="Z142" s="355"/>
      <c r="AA142" s="355"/>
      <c r="AB142" s="355"/>
      <c r="AC142" s="355"/>
      <c r="AD142" s="355"/>
      <c r="AE142" s="355"/>
      <c r="AF142" s="355"/>
      <c r="AG142" s="355"/>
      <c r="AH142" s="355"/>
      <c r="AI142" s="355"/>
      <c r="AJ142" s="355"/>
    </row>
    <row r="143" spans="1:36" ht="15">
      <c r="A143" s="355"/>
      <c r="B143" s="355"/>
      <c r="C143" s="355"/>
      <c r="D143" s="355"/>
      <c r="E143" s="355"/>
      <c r="F143" s="355"/>
      <c r="G143" s="355"/>
      <c r="H143" s="355"/>
      <c r="I143" s="355"/>
      <c r="J143" s="355"/>
      <c r="K143" s="355"/>
      <c r="L143" s="355"/>
      <c r="M143" s="355"/>
      <c r="N143" s="355"/>
      <c r="O143" s="355"/>
      <c r="P143" s="355"/>
      <c r="Q143" s="355"/>
      <c r="R143" s="355"/>
      <c r="S143" s="355"/>
      <c r="T143" s="355"/>
      <c r="U143" s="355"/>
      <c r="V143" s="355"/>
      <c r="W143" s="355"/>
      <c r="X143" s="355"/>
      <c r="Y143" s="355"/>
      <c r="Z143" s="355"/>
      <c r="AA143" s="355"/>
      <c r="AB143" s="355"/>
      <c r="AC143" s="355"/>
      <c r="AD143" s="355"/>
      <c r="AE143" s="355"/>
      <c r="AF143" s="355"/>
      <c r="AG143" s="355"/>
      <c r="AH143" s="355"/>
      <c r="AI143" s="355"/>
      <c r="AJ143" s="355"/>
    </row>
    <row r="144" spans="1:36" ht="15">
      <c r="A144" s="355"/>
      <c r="B144" s="355"/>
      <c r="C144" s="355"/>
      <c r="D144" s="355"/>
      <c r="E144" s="355"/>
      <c r="F144" s="355"/>
      <c r="G144" s="355"/>
      <c r="H144" s="355"/>
      <c r="I144" s="355"/>
      <c r="J144" s="355"/>
      <c r="K144" s="355"/>
      <c r="L144" s="355"/>
      <c r="M144" s="355"/>
      <c r="N144" s="355"/>
      <c r="O144" s="355"/>
      <c r="P144" s="355"/>
      <c r="Q144" s="355"/>
      <c r="R144" s="355"/>
      <c r="S144" s="355"/>
      <c r="T144" s="355"/>
      <c r="U144" s="355"/>
      <c r="V144" s="355"/>
      <c r="W144" s="355"/>
      <c r="X144" s="355"/>
      <c r="Y144" s="355"/>
      <c r="Z144" s="355"/>
      <c r="AA144" s="355"/>
      <c r="AB144" s="355"/>
      <c r="AC144" s="355"/>
      <c r="AD144" s="355"/>
      <c r="AE144" s="355"/>
      <c r="AF144" s="355"/>
      <c r="AG144" s="355"/>
      <c r="AH144" s="355"/>
      <c r="AI144" s="355"/>
      <c r="AJ144" s="355"/>
    </row>
    <row r="145" spans="1:36" ht="15">
      <c r="A145" s="355"/>
      <c r="B145" s="355"/>
      <c r="C145" s="355"/>
      <c r="D145" s="355"/>
      <c r="E145" s="355"/>
      <c r="F145" s="355"/>
      <c r="G145" s="355"/>
      <c r="H145" s="355"/>
      <c r="I145" s="355"/>
      <c r="J145" s="355"/>
      <c r="K145" s="355"/>
      <c r="L145" s="355"/>
      <c r="M145" s="355"/>
      <c r="N145" s="355"/>
      <c r="O145" s="355"/>
      <c r="P145" s="355"/>
      <c r="Q145" s="355"/>
      <c r="R145" s="355"/>
      <c r="S145" s="355"/>
      <c r="T145" s="355"/>
      <c r="U145" s="355"/>
      <c r="V145" s="355"/>
      <c r="W145" s="355"/>
      <c r="X145" s="355"/>
      <c r="Y145" s="355"/>
      <c r="Z145" s="355"/>
      <c r="AA145" s="355"/>
      <c r="AB145" s="355"/>
      <c r="AC145" s="355"/>
      <c r="AD145" s="355"/>
      <c r="AE145" s="355"/>
      <c r="AF145" s="355"/>
      <c r="AG145" s="355"/>
      <c r="AH145" s="355"/>
      <c r="AI145" s="355"/>
      <c r="AJ145" s="355"/>
    </row>
    <row r="146" spans="1:36" ht="15">
      <c r="A146" s="355"/>
      <c r="B146" s="355"/>
      <c r="C146" s="355"/>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5"/>
      <c r="AD146" s="355"/>
      <c r="AE146" s="355"/>
      <c r="AF146" s="355"/>
      <c r="AG146" s="355"/>
      <c r="AH146" s="355"/>
      <c r="AI146" s="355"/>
      <c r="AJ146" s="355"/>
    </row>
    <row r="147" spans="1:36" ht="15">
      <c r="A147" s="355"/>
      <c r="B147" s="355"/>
      <c r="C147" s="355"/>
      <c r="D147" s="355"/>
      <c r="E147" s="355"/>
      <c r="F147" s="355"/>
      <c r="G147" s="355"/>
      <c r="H147" s="355"/>
      <c r="I147" s="355"/>
      <c r="J147" s="355"/>
      <c r="K147" s="355"/>
      <c r="L147" s="355"/>
      <c r="M147" s="355"/>
      <c r="N147" s="355"/>
      <c r="O147" s="355"/>
      <c r="P147" s="355"/>
      <c r="Q147" s="355"/>
      <c r="R147" s="355"/>
      <c r="S147" s="355"/>
      <c r="T147" s="355"/>
      <c r="U147" s="355"/>
      <c r="V147" s="355"/>
      <c r="W147" s="355"/>
      <c r="X147" s="355"/>
      <c r="Y147" s="355"/>
      <c r="Z147" s="355"/>
      <c r="AA147" s="355"/>
      <c r="AB147" s="355"/>
      <c r="AC147" s="355"/>
      <c r="AD147" s="355"/>
      <c r="AE147" s="355"/>
      <c r="AF147" s="355"/>
      <c r="AG147" s="355"/>
      <c r="AH147" s="355"/>
      <c r="AI147" s="355"/>
      <c r="AJ147" s="355"/>
    </row>
    <row r="148" spans="1:36" ht="15">
      <c r="A148" s="355"/>
      <c r="B148" s="355"/>
      <c r="C148" s="355"/>
      <c r="D148" s="355"/>
      <c r="E148" s="355"/>
      <c r="F148" s="355"/>
      <c r="G148" s="355"/>
      <c r="H148" s="355"/>
      <c r="I148" s="355"/>
      <c r="J148" s="355"/>
      <c r="K148" s="355"/>
      <c r="L148" s="355"/>
      <c r="M148" s="355"/>
      <c r="N148" s="355"/>
      <c r="O148" s="355"/>
      <c r="P148" s="355"/>
      <c r="Q148" s="355"/>
      <c r="R148" s="355"/>
      <c r="S148" s="355"/>
      <c r="T148" s="355"/>
      <c r="U148" s="355"/>
      <c r="V148" s="355"/>
      <c r="W148" s="355"/>
      <c r="X148" s="355"/>
      <c r="Y148" s="355"/>
      <c r="Z148" s="355"/>
      <c r="AA148" s="355"/>
      <c r="AB148" s="355"/>
      <c r="AC148" s="355"/>
      <c r="AD148" s="355"/>
      <c r="AE148" s="355"/>
      <c r="AF148" s="355"/>
      <c r="AG148" s="355"/>
      <c r="AH148" s="355"/>
      <c r="AI148" s="355"/>
      <c r="AJ148" s="355"/>
    </row>
    <row r="149" ht="15"/>
    <row r="150" ht="15"/>
    <row r="151" ht="15"/>
  </sheetData>
  <sheetProtection algorithmName="SHA-512" hashValue="GilxNg1RVrGbd2IIKmNiihqvl41uOxd+NpRvXlN8+i9cgQ5+MLmvvP+6X8JzMHtmpfwrT47DW9XVGyN8bvSqwQ==" saltValue="xBfBp2hqmCIIfRG+nTvR+A==" spinCount="100000" sheet="1" objects="1" scenarios="1"/>
  <protectedRanges>
    <protectedRange sqref="E6:F11 J6:J7 J11 O6 O11 U11 D18:F22 D25:D27 I25:I27 I18:L22 O18:Q22 O25:O27 T25:T27 T18:W22" name="HousingDevelopment"/>
    <protectedRange sqref="D34:D35 D38 D39 D46:D50 I46:I50 I41 I38 I35 I34" name="MarketDetails"/>
    <protectedRange sqref="F61:F62 I70:I78 J70 J72 J74 J78 U62 U65:U66 U70 U73:U74 U77 Z62 Z65 Z68 Z71" name="Environmental"/>
  </protectedRanges>
  <mergeCells count="2">
    <mergeCell ref="D39:E40"/>
    <mergeCell ref="C12:F13"/>
  </mergeCells>
  <conditionalFormatting sqref="C41:E41">
    <cfRule type="expression" priority="16" dxfId="11">
      <formula>$C$41&lt;&gt;""</formula>
    </cfRule>
  </conditionalFormatting>
  <conditionalFormatting sqref="C12:F13">
    <cfRule type="expression" priority="4" dxfId="10">
      <formula>$C$12&lt;&gt;""</formula>
    </cfRule>
  </conditionalFormatting>
  <conditionalFormatting sqref="D18:D23">
    <cfRule type="expression" priority="18" dxfId="0">
      <formula>D18&lt;F18</formula>
    </cfRule>
  </conditionalFormatting>
  <conditionalFormatting sqref="D35 D46:D50 I46:I50">
    <cfRule type="expression" priority="13" dxfId="8">
      <formula>$D$34="No"</formula>
    </cfRule>
  </conditionalFormatting>
  <conditionalFormatting sqref="D35">
    <cfRule type="expression" priority="1" dxfId="7">
      <formula>$D$34="No"</formula>
    </cfRule>
  </conditionalFormatting>
  <conditionalFormatting sqref="F18:F23">
    <cfRule type="expression" priority="19" dxfId="0">
      <formula>F18&gt;D18</formula>
    </cfRule>
  </conditionalFormatting>
  <conditionalFormatting sqref="I18:I23">
    <cfRule type="expression" priority="10" dxfId="0">
      <formula>I18&lt;L18</formula>
    </cfRule>
  </conditionalFormatting>
  <conditionalFormatting sqref="L18:L23">
    <cfRule type="expression" priority="7" dxfId="0">
      <formula>L18&gt;I18</formula>
    </cfRule>
  </conditionalFormatting>
  <conditionalFormatting sqref="O18:O23">
    <cfRule type="expression" priority="9" dxfId="0">
      <formula>O18&lt;Q18</formula>
    </cfRule>
  </conditionalFormatting>
  <conditionalFormatting sqref="Q18:Q23">
    <cfRule type="expression" priority="6" dxfId="0">
      <formula>Q18&gt;O18</formula>
    </cfRule>
  </conditionalFormatting>
  <conditionalFormatting sqref="T18:T23">
    <cfRule type="expression" priority="8" dxfId="0">
      <formula>T18&lt;W18</formula>
    </cfRule>
  </conditionalFormatting>
  <conditionalFormatting sqref="W18:W23">
    <cfRule type="expression" priority="5" dxfId="0">
      <formula>W18&gt;T18</formula>
    </cfRule>
  </conditionalFormatting>
  <dataValidations count="28">
    <dataValidation type="decimal" allowBlank="1" showInputMessage="1" showErrorMessage="1" prompt="Just a quick test" errorTitle="Not a number" error="Please enter a valid number" sqref="J32">
      <formula1>0</formula1>
      <formula2>100</formula2>
    </dataValidation>
    <dataValidation type="list" allowBlank="1" showInputMessage="1" showErrorMessage="1" promptTitle="Significant Urban Areas (SUA)" prompt="SUAs are used to link environmental benefits to population density. SUAs are arranged alphabetically. If your SUA is not listed, select 'Not in any significant urban area (state)'." sqref="D39">
      <formula1>INDIRECT(D38)</formula1>
    </dataValidation>
    <dataValidation type="decimal" operator="greaterThanOrEqual" allowBlank="1" showInputMessage="1" showErrorMessage="1" errorTitle="Not a number" error="A number at least 0 is required for this input." sqref="U6">
      <formula1>0</formula1>
    </dataValidation>
    <dataValidation type="custom" allowBlank="1" showInputMessage="1" showErrorMessage="1" errorTitle="Too many one-parent dwellings" error="The number of one parent dwellings with the selected number of bedrooms cannot exceed the total number projected to be constructed." sqref="L18 W18">
      <formula1>L18&lt;=I18</formula1>
    </dataValidation>
    <dataValidation type="custom" allowBlank="1" showInputMessage="1" showErrorMessage="1" errorTitle="Too many one-parent dwellings" error="The number of one parent dwellings with the selected number of bedrooms cannot exceed the total number projected to be constructed" sqref="L19:L23 W19:W23">
      <formula1>L19&lt;=I19</formula1>
    </dataValidation>
    <dataValidation type="whole" allowBlank="1" showInputMessage="1" showErrorMessage="1" errorTitle="Whole number required" error="A whole number is required to be input for this cell." sqref="I18:I23 D18:D23 O18:O23 T18:T23">
      <formula1>0</formula1>
      <formula2>100000</formula2>
    </dataValidation>
    <dataValidation type="whole" allowBlank="1" showInputMessage="1" showErrorMessage="1" errorTitle="Incorrect Number Entered" error="A whole number between 0 and 366 must be entered." sqref="Z68">
      <formula1>0</formula1>
      <formula2>366</formula2>
    </dataValidation>
    <dataValidation type="decimal" allowBlank="1" showInputMessage="1" showErrorMessage="1" errorTitle="Not a number" error="A valid number must be entered" sqref="Z62">
      <formula1>0</formula1>
      <formula2>100000</formula2>
    </dataValidation>
    <dataValidation type="decimal" operator="greaterThan" allowBlank="1" showInputMessage="1" showErrorMessage="1" errorTitle="Valid number required" error="A valid exchange rate greater than 0 is required." sqref="Z65">
      <formula1>0</formula1>
    </dataValidation>
    <dataValidation type="decimal" operator="greaterThan" allowBlank="1" showInputMessage="1" showErrorMessage="1" errorTitle="Valid number required" error="A valid electricity price per kwh is required." sqref="Z71">
      <formula1>0</formula1>
    </dataValidation>
    <dataValidation type="whole" operator="greaterThanOrEqual" allowBlank="1" showInputMessage="1" showErrorMessage="1" errorTitle="Whole number required" error="Only whole numbers at least 0 are allowed." sqref="U70:U71 U73:U74 U77">
      <formula1>0</formula1>
    </dataValidation>
    <dataValidation type="whole" operator="greaterThanOrEqual" allowBlank="1" showInputMessage="1" showErrorMessage="1" errorTitle="Whole number required" error="A whole number at least 0 is required" sqref="U66">
      <formula1>0</formula1>
    </dataValidation>
    <dataValidation type="decimal" allowBlank="1" showInputMessage="1" showErrorMessage="1" errorTitle="Correct fraction required" error="A fraction between 0% and 100% is required. For example, enter 10% either as 0.1 or 10%." sqref="I41 O6 I34:I35">
      <formula1>0</formula1>
      <formula2>1</formula2>
    </dataValidation>
    <dataValidation type="decimal" operator="greaterThanOrEqual" allowBlank="1" showInputMessage="1" showErrorMessage="1" errorTitle="Number required" error="A number is required for this input" sqref="U11">
      <formula1>0</formula1>
    </dataValidation>
    <dataValidation type="custom" allowBlank="1" showInputMessage="1" showErrorMessage="1" errorTitle="Too many one-parent dwellings" error="The number of one parent dwellings with the selected number of bedrooms cannot exceed the total number projected to be constructed." sqref="F18 Q18">
      <formula1>F18&lt;=D18</formula1>
    </dataValidation>
    <dataValidation type="custom" allowBlank="1" showInputMessage="1" showErrorMessage="1" errorTitle="Too many one-parent dwellings" error="The number of one parent dwellings with the selected number of bedrooms cannot exceed the total number projected to be constructed" sqref="F19:F23 Q19:Q23">
      <formula1>F19&lt;=D19</formula1>
    </dataValidation>
    <dataValidation type="whole" operator="greaterThanOrEqual" allowBlank="1" showInputMessage="1" showErrorMessage="1" errorTitle="Whole number required" error="A whole number at least 0 is required for this input." sqref="E6:E11">
      <formula1>0</formula1>
    </dataValidation>
    <dataValidation allowBlank="1" showErrorMessage="1" promptTitle="NatHERS Star Band" sqref="U12"/>
    <dataValidation type="list" allowBlank="1" showInputMessage="1" showErrorMessage="1" promptTitle="Market valuation" prompt="Select 'Yes' here if your representative market rents are based on actual market valuation / assessment of the rental value of these properties - including any park and transport infrastructure - are valued at in the._x000a__x000a_Select 'No' otherwise." sqref="D35">
      <formula1>IF($D$34="Yes",'Look-ups'!$C$3:$C$4,"")</formula1>
    </dataValidation>
    <dataValidation type="list" allowBlank="1" showInputMessage="1" showErrorMessage="1" promptTitle="Wrap-around services" prompt="Indicate here whether wrap around service is provided to assist sustaining tenancies for people experiencing homelessness. _x000a__x000a_Note: dedicated wrap-around service provision has been calculated to add $5,000-7,000 in operational cost, per person, per annum." sqref="J6">
      <formula1>'Look-ups'!$C$3:$C$4</formula1>
    </dataValidation>
    <dataValidation type="list" allowBlank="1" showInputMessage="1" showErrorMessage="1" sqref="D38">
      <formula1>'Look-ups'!$E$3:$E$10</formula1>
    </dataValidation>
    <dataValidation type="list" allowBlank="1" showInputMessage="1" showErrorMessage="1" promptTitle="Base year of calculation" prompt="Please enter here the first year that the development will be operational (fully tenanted, allowing for normal vacancy rate)." sqref="I38">
      <formula1>'Look-ups'!$A$15:$A$43</formula1>
    </dataValidation>
    <dataValidation type="list" allowBlank="1" showInputMessage="1" showErrorMessage="1" promptTitle="Own rental information" prompt="Select 'Yes' here if you have representative market rents that you want to base the calculations on._x000a__x000a_Select 'No' here if you want to use more generic rental information provided by the calculator." sqref="D34">
      <formula1>'Look-ups'!$C$3:$C$4</formula1>
    </dataValidation>
    <dataValidation type="list" allowBlank="1" showInputMessage="1" showErrorMessage="1" promptTitle="NatHERS Star Band" prompt="Select the NatHERS Star Band that characterises the build energy efficiency" sqref="V12">
      <formula1>'Look-ups'!$D$15:$D$34</formula1>
    </dataValidation>
    <dataValidation type="list" allowBlank="1" showInputMessage="1" showErrorMessage="1" promptTitle="NatHERS setting" prompt="Select the NatHERS Star Band that characterises the build energy efficiency" sqref="T25 D25 I25 O25">
      <formula1>'Look-ups'!$D$16:$D$34</formula1>
    </dataValidation>
    <dataValidation type="list" allowBlank="1" showInputMessage="1" showErrorMessage="1" promptTitle="Energy rating: heating" prompt="Select the star level that best describes the typical dwelling in this category._x000a__x000a_Assumes a 5 star energy rating if left blank." sqref="T27 D27 I27 O27">
      <formula1>'Look-ups'!$A$144:$A$164</formula1>
    </dataValidation>
    <dataValidation type="list" allowBlank="1" showInputMessage="1" showErrorMessage="1" promptTitle="Wrap-around other homeless" prompt="Indicate here whether wrap around service is provided to assist sustaining tenancies for people experiencing homelessness. _x000a__x000a_Note: dedicated wrap-around service provision has been calculated to add $xxxx-$xxxx in operational cost, per person, per annum." sqref="J7:J9">
      <formula1>'Look-ups'!$C$3:$C$4</formula1>
    </dataValidation>
    <dataValidation type="list" allowBlank="1" showInputMessage="1" showErrorMessage="1" promptTitle="Energy rating: cooling" prompt="Select the star level that best describes the typical dwelling in this category._x000a__x000a_Assumes a 5 star energy rating if left blank." sqref="T26 D26 I26 O26">
      <formula1>'Look-ups'!$A$144:$A$164</formula1>
    </dataValidation>
  </dataValidations>
  <printOptions/>
  <pageMargins left="0.7" right="0.7" top="0.75" bottom="0.75" header="0.3" footer="0.3"/>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H97"/>
  <sheetViews>
    <sheetView showGridLines="0" workbookViewId="0" topLeftCell="A1">
      <selection activeCell="G70" sqref="G70"/>
    </sheetView>
  </sheetViews>
  <sheetFormatPr defaultColWidth="8.7109375" defaultRowHeight="15"/>
  <sheetData>
    <row r="1" spans="1:34" ht="15">
      <c r="A1" s="353"/>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row>
    <row r="2" spans="1:34" ht="15">
      <c r="A2" s="353"/>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row>
    <row r="3" spans="1:34" ht="15">
      <c r="A3" s="353"/>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row>
    <row r="4" spans="1:34" ht="15">
      <c r="A4" s="353"/>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row>
    <row r="5" spans="1:34" ht="15">
      <c r="A5" s="353"/>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row>
    <row r="6" spans="1:34" ht="15">
      <c r="A6" s="353"/>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row>
    <row r="7" spans="1:34" ht="15">
      <c r="A7" s="353"/>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row>
    <row r="8" spans="1:34" ht="15">
      <c r="A8" s="353"/>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row>
    <row r="9" spans="1:34" ht="15">
      <c r="A9" s="353"/>
      <c r="B9" s="353"/>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row>
    <row r="10" spans="1:34" ht="15">
      <c r="A10" s="353"/>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row>
    <row r="11" spans="1:34" ht="15">
      <c r="A11" s="353"/>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row>
    <row r="12" spans="1:34" ht="15">
      <c r="A12" s="353"/>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row>
    <row r="13" spans="1:34" ht="15">
      <c r="A13" s="353"/>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row>
    <row r="14" spans="1:34" ht="15">
      <c r="A14" s="353"/>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row>
    <row r="15" spans="1:34" ht="15">
      <c r="A15" s="353"/>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row>
    <row r="16" spans="1:34" ht="15">
      <c r="A16" s="353"/>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row>
    <row r="17" spans="1:34" ht="15">
      <c r="A17" s="353"/>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row>
    <row r="18" spans="1:34" ht="15">
      <c r="A18" s="353"/>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row>
    <row r="19" spans="1:34" ht="15">
      <c r="A19" s="353"/>
      <c r="B19" s="353"/>
      <c r="C19" s="353"/>
      <c r="D19" s="353"/>
      <c r="E19" s="353"/>
      <c r="F19" s="353"/>
      <c r="G19" s="353"/>
      <c r="H19" s="353"/>
      <c r="I19" s="353"/>
      <c r="J19" s="359"/>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row>
    <row r="20" spans="1:34" ht="15">
      <c r="A20" s="353"/>
      <c r="B20" s="35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row>
    <row r="21" spans="1:34" ht="15">
      <c r="A21" s="353"/>
      <c r="B21" s="353"/>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row>
    <row r="22" spans="1:34" ht="15">
      <c r="A22" s="353"/>
      <c r="B22" s="353"/>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row>
    <row r="23" spans="1:34" ht="15">
      <c r="A23" s="353"/>
      <c r="B23" s="353"/>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row>
    <row r="24" spans="1:34" ht="15">
      <c r="A24" s="353"/>
      <c r="B24" s="353"/>
      <c r="C24" s="353"/>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row>
    <row r="25" spans="1:34" ht="15">
      <c r="A25" s="353"/>
      <c r="B25" s="353"/>
      <c r="C25" s="353"/>
      <c r="D25" s="353"/>
      <c r="E25" s="353"/>
      <c r="F25" s="353"/>
      <c r="G25" s="353"/>
      <c r="H25" s="353"/>
      <c r="I25" s="353"/>
      <c r="J25" s="360"/>
      <c r="K25" s="360"/>
      <c r="L25" s="360"/>
      <c r="M25" s="360"/>
      <c r="N25" s="360"/>
      <c r="O25" s="360"/>
      <c r="P25" s="360"/>
      <c r="Q25" s="353"/>
      <c r="R25" s="353"/>
      <c r="S25" s="353"/>
      <c r="T25" s="353"/>
      <c r="U25" s="353"/>
      <c r="V25" s="353"/>
      <c r="W25" s="353"/>
      <c r="X25" s="353"/>
      <c r="Y25" s="353"/>
      <c r="Z25" s="353"/>
      <c r="AA25" s="353"/>
      <c r="AB25" s="353"/>
      <c r="AC25" s="353"/>
      <c r="AD25" s="353"/>
      <c r="AE25" s="353"/>
      <c r="AF25" s="353"/>
      <c r="AG25" s="353"/>
      <c r="AH25" s="353"/>
    </row>
    <row r="26" spans="1:34" ht="15">
      <c r="A26" s="353"/>
      <c r="B26" s="353"/>
      <c r="C26" s="353"/>
      <c r="D26" s="353"/>
      <c r="E26" s="353"/>
      <c r="F26" s="353"/>
      <c r="G26" s="353"/>
      <c r="H26" s="353"/>
      <c r="I26" s="353"/>
      <c r="J26" s="360"/>
      <c r="K26" s="360"/>
      <c r="L26" s="360"/>
      <c r="M26" s="360"/>
      <c r="N26" s="360"/>
      <c r="O26" s="360"/>
      <c r="P26" s="360"/>
      <c r="Q26" s="353"/>
      <c r="R26" s="353"/>
      <c r="S26" s="353"/>
      <c r="T26" s="353"/>
      <c r="U26" s="353"/>
      <c r="V26" s="353"/>
      <c r="W26" s="353"/>
      <c r="X26" s="353"/>
      <c r="Y26" s="353"/>
      <c r="Z26" s="353"/>
      <c r="AA26" s="353"/>
      <c r="AB26" s="353"/>
      <c r="AC26" s="353"/>
      <c r="AD26" s="353"/>
      <c r="AE26" s="353"/>
      <c r="AF26" s="353"/>
      <c r="AG26" s="353"/>
      <c r="AH26" s="353"/>
    </row>
    <row r="27" spans="1:34" ht="15">
      <c r="A27" s="353"/>
      <c r="B27" s="353"/>
      <c r="C27" s="353"/>
      <c r="D27" s="353"/>
      <c r="E27" s="353"/>
      <c r="F27" s="353"/>
      <c r="G27" s="353"/>
      <c r="H27" s="353"/>
      <c r="I27" s="353"/>
      <c r="J27" s="360"/>
      <c r="K27" s="360"/>
      <c r="L27" s="360"/>
      <c r="M27" s="360"/>
      <c r="N27" s="360"/>
      <c r="O27" s="360"/>
      <c r="P27" s="360"/>
      <c r="Q27" s="353"/>
      <c r="R27" s="353"/>
      <c r="S27" s="353"/>
      <c r="T27" s="353"/>
      <c r="U27" s="353"/>
      <c r="V27" s="353"/>
      <c r="W27" s="353"/>
      <c r="X27" s="353"/>
      <c r="Y27" s="353"/>
      <c r="Z27" s="353"/>
      <c r="AA27" s="353"/>
      <c r="AB27" s="353"/>
      <c r="AC27" s="353"/>
      <c r="AD27" s="353"/>
      <c r="AE27" s="353"/>
      <c r="AF27" s="353"/>
      <c r="AG27" s="353"/>
      <c r="AH27" s="353"/>
    </row>
    <row r="28" spans="1:34" ht="15">
      <c r="A28" s="353"/>
      <c r="B28" s="353"/>
      <c r="C28" s="353"/>
      <c r="D28" s="353"/>
      <c r="E28" s="353"/>
      <c r="F28" s="353"/>
      <c r="G28" s="353"/>
      <c r="H28" s="353"/>
      <c r="I28" s="353"/>
      <c r="J28" s="360"/>
      <c r="K28" s="360"/>
      <c r="L28" s="360"/>
      <c r="M28" s="360"/>
      <c r="N28" s="360"/>
      <c r="O28" s="360"/>
      <c r="P28" s="360"/>
      <c r="Q28" s="353"/>
      <c r="R28" s="353"/>
      <c r="S28" s="353"/>
      <c r="T28" s="353"/>
      <c r="U28" s="353"/>
      <c r="V28" s="353"/>
      <c r="W28" s="353"/>
      <c r="X28" s="353"/>
      <c r="Y28" s="353"/>
      <c r="Z28" s="353"/>
      <c r="AA28" s="353"/>
      <c r="AB28" s="353"/>
      <c r="AC28" s="353"/>
      <c r="AD28" s="353"/>
      <c r="AE28" s="353"/>
      <c r="AF28" s="353"/>
      <c r="AG28" s="353"/>
      <c r="AH28" s="353"/>
    </row>
    <row r="29" spans="1:34" ht="15">
      <c r="A29" s="353"/>
      <c r="B29" s="353"/>
      <c r="C29" s="353"/>
      <c r="D29" s="353"/>
      <c r="E29" s="353"/>
      <c r="F29" s="353"/>
      <c r="G29" s="353"/>
      <c r="H29" s="353"/>
      <c r="I29" s="353"/>
      <c r="J29" s="360"/>
      <c r="K29" s="360"/>
      <c r="L29" s="360"/>
      <c r="M29" s="360"/>
      <c r="N29" s="360"/>
      <c r="O29" s="360"/>
      <c r="P29" s="360"/>
      <c r="Q29" s="353"/>
      <c r="R29" s="353"/>
      <c r="S29" s="353"/>
      <c r="T29" s="353"/>
      <c r="U29" s="353"/>
      <c r="V29" s="353"/>
      <c r="W29" s="353"/>
      <c r="X29" s="353"/>
      <c r="Y29" s="353"/>
      <c r="Z29" s="353"/>
      <c r="AA29" s="353"/>
      <c r="AB29" s="353"/>
      <c r="AC29" s="353"/>
      <c r="AD29" s="353"/>
      <c r="AE29" s="353"/>
      <c r="AF29" s="353"/>
      <c r="AG29" s="353"/>
      <c r="AH29" s="353"/>
    </row>
    <row r="30" spans="1:34" ht="15">
      <c r="A30" s="353"/>
      <c r="B30" s="353"/>
      <c r="C30" s="353"/>
      <c r="D30" s="353"/>
      <c r="E30" s="353"/>
      <c r="F30" s="353"/>
      <c r="G30" s="353"/>
      <c r="H30" s="353"/>
      <c r="I30" s="353"/>
      <c r="J30" s="353"/>
      <c r="K30" s="360"/>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row>
    <row r="31" spans="1:34" ht="15">
      <c r="A31" s="353"/>
      <c r="B31" s="353"/>
      <c r="C31" s="353"/>
      <c r="D31" s="353"/>
      <c r="E31" s="353"/>
      <c r="F31" s="353"/>
      <c r="G31" s="353"/>
      <c r="H31" s="353"/>
      <c r="I31" s="353"/>
      <c r="J31" s="353"/>
      <c r="K31" s="360"/>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row>
    <row r="32" spans="1:34" ht="15">
      <c r="A32" s="353"/>
      <c r="B32" s="353"/>
      <c r="C32" s="353"/>
      <c r="D32" s="353"/>
      <c r="E32" s="353"/>
      <c r="F32" s="353"/>
      <c r="G32" s="353"/>
      <c r="H32" s="353"/>
      <c r="I32" s="353"/>
      <c r="J32" s="353"/>
      <c r="K32" s="360"/>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row>
    <row r="33" spans="1:34" ht="15">
      <c r="A33" s="353"/>
      <c r="B33" s="353"/>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row>
    <row r="34" spans="1:34" ht="15">
      <c r="A34" s="353"/>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row>
    <row r="35" spans="1:34" ht="15">
      <c r="A35" s="353"/>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row>
    <row r="36" spans="1:34" ht="15">
      <c r="A36" s="353"/>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row>
    <row r="37" spans="1:34" ht="15">
      <c r="A37" s="353"/>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row>
    <row r="38" spans="1:34" ht="15">
      <c r="A38" s="353"/>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row>
    <row r="39" spans="1:34" ht="15">
      <c r="A39" s="353"/>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row>
    <row r="40" spans="1:34" ht="15">
      <c r="A40" s="353"/>
      <c r="B40" s="353"/>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row>
    <row r="41" spans="1:34" ht="15">
      <c r="A41" s="353"/>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row>
    <row r="42" spans="1:34" ht="15">
      <c r="A42" s="353"/>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row>
    <row r="43" spans="1:34" ht="15">
      <c r="A43" s="353"/>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row>
    <row r="44" spans="1:34" ht="15">
      <c r="A44" s="353"/>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row>
    <row r="45" spans="1:34" ht="15">
      <c r="A45" s="353"/>
      <c r="B45" s="353"/>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row>
    <row r="46" spans="1:34" ht="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row>
    <row r="47" spans="1:34" ht="15">
      <c r="A47" s="353"/>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row>
    <row r="48" spans="1:34" ht="15">
      <c r="A48" s="353"/>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row>
    <row r="49" spans="1:34" ht="15">
      <c r="A49" s="353"/>
      <c r="B49" s="353"/>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row>
    <row r="50" spans="1:34" ht="15">
      <c r="A50" s="353"/>
      <c r="B50" s="353"/>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row>
    <row r="51" spans="1:34" ht="15">
      <c r="A51" s="353"/>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row>
    <row r="52" spans="1:34" ht="15">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row>
    <row r="53" spans="1:34" ht="15">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row>
    <row r="54" spans="1:34" ht="15">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row>
    <row r="55" spans="1:34" ht="15">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row>
    <row r="56" spans="1:34" ht="15">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row>
    <row r="57" spans="1:34" ht="15">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row>
    <row r="58" spans="1:34" ht="15">
      <c r="A58" s="353"/>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row>
    <row r="59" spans="1:34" ht="15">
      <c r="A59" s="353"/>
      <c r="B59" s="353"/>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row>
    <row r="60" spans="1:34" ht="15">
      <c r="A60" s="353"/>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row>
    <row r="61" spans="1:34" ht="15">
      <c r="A61" s="353"/>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row>
    <row r="62" spans="1:34" ht="15">
      <c r="A62" s="353"/>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row>
    <row r="63" spans="1:34" ht="15">
      <c r="A63" s="353"/>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row>
    <row r="64" spans="1:34" ht="15">
      <c r="A64" s="353"/>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row>
    <row r="65" spans="1:34" ht="15">
      <c r="A65" s="353"/>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row>
    <row r="66" spans="1:34" ht="15">
      <c r="A66" s="353"/>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row>
    <row r="67" spans="1:34" ht="15">
      <c r="A67" s="353"/>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row>
    <row r="68" spans="1:34" ht="15">
      <c r="A68" s="353"/>
      <c r="B68" s="353"/>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row>
    <row r="69" spans="1:34" ht="15">
      <c r="A69" s="353"/>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row>
    <row r="70" spans="1:34" ht="15">
      <c r="A70" s="353"/>
      <c r="B70" s="353"/>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row>
    <row r="71" spans="1:34" ht="15">
      <c r="A71" s="353"/>
      <c r="B71" s="353"/>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row>
    <row r="72" spans="1:34" ht="15">
      <c r="A72" s="353"/>
      <c r="B72" s="353"/>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row>
    <row r="73" spans="1:34" ht="15">
      <c r="A73" s="353"/>
      <c r="B73" s="353"/>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row>
    <row r="74" spans="1:34" ht="15">
      <c r="A74" s="353"/>
      <c r="B74" s="353"/>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row>
    <row r="75" spans="1:34" ht="15">
      <c r="A75" s="353"/>
      <c r="B75" s="353"/>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row>
    <row r="76" spans="1:34" ht="15">
      <c r="A76" s="353"/>
      <c r="B76" s="353"/>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row>
    <row r="77" spans="1:34" ht="15">
      <c r="A77" s="353"/>
      <c r="B77" s="353"/>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row>
    <row r="78" spans="1:34" ht="15">
      <c r="A78" s="353"/>
      <c r="B78" s="353"/>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row>
    <row r="79" spans="1:34" ht="15">
      <c r="A79" s="353"/>
      <c r="B79" s="353"/>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row>
    <row r="80" spans="1:34" ht="15">
      <c r="A80" s="353"/>
      <c r="B80" s="353"/>
      <c r="C80" s="353"/>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row>
    <row r="81" spans="1:34" ht="15">
      <c r="A81" s="353"/>
      <c r="B81" s="353"/>
      <c r="C81" s="353"/>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row>
    <row r="82" spans="1:34" ht="15">
      <c r="A82" s="353"/>
      <c r="B82" s="353"/>
      <c r="C82" s="353"/>
      <c r="D82" s="353"/>
      <c r="E82" s="353"/>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row>
    <row r="83" spans="1:34" ht="15">
      <c r="A83" s="353"/>
      <c r="B83" s="353"/>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row>
    <row r="84" spans="1:34" ht="15">
      <c r="A84" s="353"/>
      <c r="B84" s="353"/>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row>
    <row r="85" spans="1:34" ht="15">
      <c r="A85" s="353"/>
      <c r="B85" s="353"/>
      <c r="C85" s="353"/>
      <c r="D85" s="353"/>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3"/>
    </row>
    <row r="86" spans="1:34" ht="15">
      <c r="A86" s="353"/>
      <c r="B86" s="353"/>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3"/>
    </row>
    <row r="87" spans="1:34" ht="15">
      <c r="A87" s="353"/>
      <c r="B87" s="353"/>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row>
    <row r="88" spans="1:34" ht="15">
      <c r="A88" s="353"/>
      <c r="B88" s="353"/>
      <c r="C88" s="353"/>
      <c r="D88" s="353"/>
      <c r="E88" s="353"/>
      <c r="F88" s="353"/>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row>
    <row r="89" spans="1:34" ht="15">
      <c r="A89" s="353"/>
      <c r="B89" s="353"/>
      <c r="C89" s="353"/>
      <c r="D89" s="353"/>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row>
    <row r="90" spans="1:34" ht="15">
      <c r="A90" s="353"/>
      <c r="B90" s="353"/>
      <c r="C90" s="353"/>
      <c r="D90" s="353"/>
      <c r="E90" s="353"/>
      <c r="F90" s="353"/>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c r="AG90" s="353"/>
      <c r="AH90" s="353"/>
    </row>
    <row r="91" spans="1:34" ht="15">
      <c r="A91" s="353"/>
      <c r="B91" s="353"/>
      <c r="C91" s="353"/>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c r="AF91" s="353"/>
      <c r="AG91" s="353"/>
      <c r="AH91" s="353"/>
    </row>
    <row r="92" spans="1:34" ht="15">
      <c r="A92" s="353"/>
      <c r="B92" s="353"/>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row>
    <row r="93" spans="1:34" ht="15">
      <c r="A93" s="353"/>
      <c r="B93" s="353"/>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row>
    <row r="94" spans="1:34" ht="15">
      <c r="A94" s="353"/>
      <c r="B94" s="353"/>
      <c r="C94" s="353"/>
      <c r="D94" s="353"/>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row>
    <row r="95" spans="1:34" ht="15">
      <c r="A95" s="353"/>
      <c r="B95" s="353"/>
      <c r="C95" s="353"/>
      <c r="D95" s="353"/>
      <c r="E95" s="353"/>
      <c r="F95" s="353"/>
      <c r="G95" s="353"/>
      <c r="H95" s="353"/>
      <c r="I95" s="353"/>
      <c r="J95" s="353"/>
      <c r="K95" s="353"/>
      <c r="L95" s="353"/>
      <c r="M95" s="353"/>
      <c r="N95" s="353"/>
      <c r="O95" s="353"/>
      <c r="P95" s="353"/>
      <c r="Q95" s="353"/>
      <c r="R95" s="353"/>
      <c r="S95" s="353"/>
      <c r="T95" s="353"/>
      <c r="U95" s="353"/>
      <c r="V95" s="353"/>
      <c r="W95" s="353"/>
      <c r="X95" s="353"/>
      <c r="Y95" s="353"/>
      <c r="Z95" s="353"/>
      <c r="AA95" s="353"/>
      <c r="AB95" s="353"/>
      <c r="AC95" s="353"/>
      <c r="AD95" s="353"/>
      <c r="AE95" s="353"/>
      <c r="AF95" s="353"/>
      <c r="AG95" s="353"/>
      <c r="AH95" s="353"/>
    </row>
    <row r="96" spans="1:34" ht="15">
      <c r="A96" s="353"/>
      <c r="B96" s="353"/>
      <c r="C96" s="353"/>
      <c r="D96" s="353"/>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row>
    <row r="97" spans="1:34" ht="15">
      <c r="A97" s="353"/>
      <c r="B97" s="353"/>
      <c r="C97" s="353"/>
      <c r="D97" s="353"/>
      <c r="E97" s="353"/>
      <c r="F97" s="353"/>
      <c r="G97" s="353"/>
      <c r="H97" s="353"/>
      <c r="I97" s="353"/>
      <c r="J97" s="353"/>
      <c r="K97" s="353"/>
      <c r="L97" s="353"/>
      <c r="M97" s="353"/>
      <c r="N97" s="353"/>
      <c r="O97" s="353"/>
      <c r="P97" s="353"/>
      <c r="Q97" s="353"/>
      <c r="R97" s="353"/>
      <c r="S97" s="353"/>
      <c r="T97" s="353"/>
      <c r="U97" s="353"/>
      <c r="V97" s="353"/>
      <c r="W97" s="353"/>
      <c r="X97" s="353"/>
      <c r="Y97" s="353"/>
      <c r="Z97" s="353"/>
      <c r="AA97" s="353"/>
      <c r="AB97" s="353"/>
      <c r="AC97" s="353"/>
      <c r="AD97" s="353"/>
      <c r="AE97" s="353"/>
      <c r="AF97" s="353"/>
      <c r="AG97" s="353"/>
      <c r="AH97" s="353"/>
    </row>
  </sheetData>
  <sheetProtection algorithmName="SHA-512" hashValue="a4gB3hA/h1Itd6uaO7J0rVMSm1sD2sjj88BgNP4mZU4U7yvzMjr/p6cYx1+Lq98sumF6yEk6d8cleBYSkgk/xA==" saltValue="iFjFbNikPK5M9sdsJvtGDg==" spinCount="100000" sheet="1" objects="1" scenarios="1"/>
  <printOptions/>
  <pageMargins left="0.7" right="0.7" top="0.75" bottom="0.75"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W40"/>
  <sheetViews>
    <sheetView showGridLines="0" workbookViewId="0" topLeftCell="A1">
      <selection activeCell="J6" sqref="J6"/>
    </sheetView>
  </sheetViews>
  <sheetFormatPr defaultColWidth="8.7109375" defaultRowHeight="15"/>
  <cols>
    <col min="1" max="1" width="3.28125" style="0" customWidth="1"/>
    <col min="2" max="2" width="35.421875" style="0" customWidth="1"/>
    <col min="3" max="3" width="21.421875" style="0" customWidth="1"/>
    <col min="7" max="7" width="13.421875" style="0" customWidth="1"/>
    <col min="8" max="8" width="14.28125" style="0" customWidth="1"/>
    <col min="9" max="9" width="13.28125" style="0" bestFit="1" customWidth="1"/>
    <col min="10" max="49" width="11.421875" style="0" bestFit="1" customWidth="1"/>
  </cols>
  <sheetData>
    <row r="1" spans="7:49" s="324" customFormat="1" ht="176.1" customHeight="1">
      <c r="G1" s="324" t="s">
        <v>609</v>
      </c>
      <c r="H1" s="324" t="s">
        <v>610</v>
      </c>
      <c r="I1" s="324" t="s">
        <v>611</v>
      </c>
      <c r="J1" s="324" t="s">
        <v>25</v>
      </c>
      <c r="K1" s="324" t="s">
        <v>26</v>
      </c>
      <c r="L1" s="324" t="s">
        <v>27</v>
      </c>
      <c r="M1" s="324" t="s">
        <v>28</v>
      </c>
      <c r="N1" s="324" t="s">
        <v>29</v>
      </c>
      <c r="O1" s="324" t="s">
        <v>30</v>
      </c>
      <c r="P1" s="324" t="s">
        <v>31</v>
      </c>
      <c r="Q1" s="324" t="s">
        <v>32</v>
      </c>
      <c r="R1" s="324" t="s">
        <v>33</v>
      </c>
      <c r="S1" s="324" t="s">
        <v>34</v>
      </c>
      <c r="T1" s="324" t="s">
        <v>35</v>
      </c>
      <c r="U1" s="324" t="s">
        <v>36</v>
      </c>
      <c r="V1" s="324" t="s">
        <v>37</v>
      </c>
      <c r="W1" s="324" t="s">
        <v>38</v>
      </c>
      <c r="X1" s="324" t="s">
        <v>39</v>
      </c>
      <c r="Y1" s="324" t="s">
        <v>40</v>
      </c>
      <c r="Z1" s="324" t="s">
        <v>41</v>
      </c>
      <c r="AA1" s="324" t="s">
        <v>42</v>
      </c>
      <c r="AB1" s="324" t="s">
        <v>43</v>
      </c>
      <c r="AC1" s="324" t="s">
        <v>44</v>
      </c>
      <c r="AD1" s="324" t="s">
        <v>45</v>
      </c>
      <c r="AE1" s="324" t="s">
        <v>46</v>
      </c>
      <c r="AF1" s="324" t="s">
        <v>47</v>
      </c>
      <c r="AG1" s="324" t="s">
        <v>48</v>
      </c>
      <c r="AH1" s="324" t="s">
        <v>49</v>
      </c>
      <c r="AI1" s="324" t="s">
        <v>50</v>
      </c>
      <c r="AJ1" s="324" t="s">
        <v>51</v>
      </c>
      <c r="AK1" s="324" t="s">
        <v>52</v>
      </c>
      <c r="AL1" s="324" t="s">
        <v>53</v>
      </c>
      <c r="AM1" s="324" t="s">
        <v>54</v>
      </c>
      <c r="AN1" s="324" t="s">
        <v>55</v>
      </c>
      <c r="AO1" s="324" t="s">
        <v>56</v>
      </c>
      <c r="AP1" s="324" t="s">
        <v>57</v>
      </c>
      <c r="AQ1" s="324" t="s">
        <v>58</v>
      </c>
      <c r="AR1" s="324" t="s">
        <v>59</v>
      </c>
      <c r="AS1" s="324" t="s">
        <v>60</v>
      </c>
      <c r="AT1" s="324" t="s">
        <v>61</v>
      </c>
      <c r="AU1" s="324" t="s">
        <v>62</v>
      </c>
      <c r="AV1" s="324" t="s">
        <v>63</v>
      </c>
      <c r="AW1" s="324" t="s">
        <v>64</v>
      </c>
    </row>
    <row r="2" spans="2:49" ht="15">
      <c r="B2" s="396" t="s">
        <v>612</v>
      </c>
      <c r="C2" s="396"/>
      <c r="D2" s="396"/>
      <c r="E2" s="397"/>
      <c r="F2" s="10"/>
      <c r="G2" s="413"/>
      <c r="H2" s="413"/>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row>
    <row r="3" spans="2:49" ht="15">
      <c r="B3" s="398" t="s">
        <v>615</v>
      </c>
      <c r="C3" s="398"/>
      <c r="D3" s="398" t="s">
        <v>250</v>
      </c>
      <c r="E3" s="399"/>
      <c r="G3" s="415">
        <f>IF(AND(H3&gt;0,'Social Infrastructure'!$B$85&gt;0),H3/'Social Infrastructure'!$B$85,0)</f>
        <v>0</v>
      </c>
      <c r="H3" s="415">
        <f>AVERAGE(J3:AW3)</f>
        <v>0</v>
      </c>
      <c r="I3" s="415">
        <f>SUM(J3:AW3)</f>
        <v>0</v>
      </c>
      <c r="J3" s="415">
        <f>'Social Infrastructure'!N47</f>
        <v>0</v>
      </c>
      <c r="K3" s="415">
        <f>'Social Infrastructure'!O47</f>
        <v>0</v>
      </c>
      <c r="L3" s="415">
        <f>'Social Infrastructure'!P47</f>
        <v>0</v>
      </c>
      <c r="M3" s="415">
        <f>'Social Infrastructure'!Q47</f>
        <v>0</v>
      </c>
      <c r="N3" s="415">
        <f>'Social Infrastructure'!R47</f>
        <v>0</v>
      </c>
      <c r="O3" s="415">
        <f>'Social Infrastructure'!S47</f>
        <v>0</v>
      </c>
      <c r="P3" s="415">
        <f>'Social Infrastructure'!T47</f>
        <v>0</v>
      </c>
      <c r="Q3" s="415">
        <f>'Social Infrastructure'!U47</f>
        <v>0</v>
      </c>
      <c r="R3" s="415">
        <f>'Social Infrastructure'!V47</f>
        <v>0</v>
      </c>
      <c r="S3" s="415">
        <f>'Social Infrastructure'!W47</f>
        <v>0</v>
      </c>
      <c r="T3" s="415">
        <f>'Social Infrastructure'!X47</f>
        <v>0</v>
      </c>
      <c r="U3" s="415">
        <f>'Social Infrastructure'!Y47</f>
        <v>0</v>
      </c>
      <c r="V3" s="415">
        <f>'Social Infrastructure'!Z47</f>
        <v>0</v>
      </c>
      <c r="W3" s="415">
        <f>'Social Infrastructure'!AA47</f>
        <v>0</v>
      </c>
      <c r="X3" s="415">
        <f>'Social Infrastructure'!AB47</f>
        <v>0</v>
      </c>
      <c r="Y3" s="415">
        <f>'Social Infrastructure'!AC47</f>
        <v>0</v>
      </c>
      <c r="Z3" s="415">
        <f>'Social Infrastructure'!AD47</f>
        <v>0</v>
      </c>
      <c r="AA3" s="415">
        <f>'Social Infrastructure'!AE47</f>
        <v>0</v>
      </c>
      <c r="AB3" s="415">
        <f>'Social Infrastructure'!AF47</f>
        <v>0</v>
      </c>
      <c r="AC3" s="415">
        <f>'Social Infrastructure'!AG47</f>
        <v>0</v>
      </c>
      <c r="AD3" s="415">
        <f>'Social Infrastructure'!AH47</f>
        <v>0</v>
      </c>
      <c r="AE3" s="415">
        <f>'Social Infrastructure'!AI47</f>
        <v>0</v>
      </c>
      <c r="AF3" s="415">
        <f>'Social Infrastructure'!AJ47</f>
        <v>0</v>
      </c>
      <c r="AG3" s="415">
        <f>'Social Infrastructure'!AK47</f>
        <v>0</v>
      </c>
      <c r="AH3" s="415">
        <f>'Social Infrastructure'!AL47</f>
        <v>0</v>
      </c>
      <c r="AI3" s="415">
        <f>'Social Infrastructure'!AM47</f>
        <v>0</v>
      </c>
      <c r="AJ3" s="415">
        <f>'Social Infrastructure'!AN47</f>
        <v>0</v>
      </c>
      <c r="AK3" s="415">
        <f>'Social Infrastructure'!AO47</f>
        <v>0</v>
      </c>
      <c r="AL3" s="415">
        <f>'Social Infrastructure'!AP47</f>
        <v>0</v>
      </c>
      <c r="AM3" s="415">
        <f>'Social Infrastructure'!AQ47</f>
        <v>0</v>
      </c>
      <c r="AN3" s="415">
        <f>'Social Infrastructure'!AR47</f>
        <v>0</v>
      </c>
      <c r="AO3" s="415">
        <f>'Social Infrastructure'!AS47</f>
        <v>0</v>
      </c>
      <c r="AP3" s="415">
        <f>'Social Infrastructure'!AT47</f>
        <v>0</v>
      </c>
      <c r="AQ3" s="415">
        <f>'Social Infrastructure'!AU47</f>
        <v>0</v>
      </c>
      <c r="AR3" s="415">
        <f>'Social Infrastructure'!AV47</f>
        <v>0</v>
      </c>
      <c r="AS3" s="415">
        <f>'Social Infrastructure'!AW47</f>
        <v>0</v>
      </c>
      <c r="AT3" s="415">
        <f>'Social Infrastructure'!AX47</f>
        <v>0</v>
      </c>
      <c r="AU3" s="415">
        <f>'Social Infrastructure'!AY47</f>
        <v>0</v>
      </c>
      <c r="AV3" s="415">
        <f>'Social Infrastructure'!AZ47</f>
        <v>0</v>
      </c>
      <c r="AW3" s="415">
        <f>'Social Infrastructure'!BA47</f>
        <v>0</v>
      </c>
    </row>
    <row r="4" spans="2:49" ht="15">
      <c r="B4" s="398" t="s">
        <v>616</v>
      </c>
      <c r="C4" s="398"/>
      <c r="D4" s="398" t="s">
        <v>71</v>
      </c>
      <c r="E4" s="399"/>
      <c r="G4" s="415">
        <f>IF(AND(H4&gt;0,'Social Infrastructure'!$B$85&gt;0),H4/'Social Infrastructure'!$B$85,0)</f>
        <v>0</v>
      </c>
      <c r="H4" s="415">
        <f>AVERAGE(J4:AW4)</f>
        <v>0</v>
      </c>
      <c r="I4" s="415">
        <f>SUM(J4:AW4)</f>
        <v>0</v>
      </c>
      <c r="J4" s="415">
        <f>'Social Infrastructure'!N48</f>
        <v>0</v>
      </c>
      <c r="K4" s="415">
        <f>'Social Infrastructure'!O48</f>
        <v>0</v>
      </c>
      <c r="L4" s="415">
        <f>'Social Infrastructure'!P48</f>
        <v>0</v>
      </c>
      <c r="M4" s="415">
        <f>'Social Infrastructure'!Q48</f>
        <v>0</v>
      </c>
      <c r="N4" s="415">
        <f>'Social Infrastructure'!R48</f>
        <v>0</v>
      </c>
      <c r="O4" s="415">
        <f>'Social Infrastructure'!S48</f>
        <v>0</v>
      </c>
      <c r="P4" s="415">
        <f>'Social Infrastructure'!T48</f>
        <v>0</v>
      </c>
      <c r="Q4" s="415">
        <f>'Social Infrastructure'!U48</f>
        <v>0</v>
      </c>
      <c r="R4" s="415">
        <f>'Social Infrastructure'!V48</f>
        <v>0</v>
      </c>
      <c r="S4" s="415">
        <f>'Social Infrastructure'!W48</f>
        <v>0</v>
      </c>
      <c r="T4" s="415">
        <f>'Social Infrastructure'!X48</f>
        <v>0</v>
      </c>
      <c r="U4" s="415">
        <f>'Social Infrastructure'!Y48</f>
        <v>0</v>
      </c>
      <c r="V4" s="415">
        <f>'Social Infrastructure'!Z48</f>
        <v>0</v>
      </c>
      <c r="W4" s="415">
        <f>'Social Infrastructure'!AA48</f>
        <v>0</v>
      </c>
      <c r="X4" s="415">
        <f>'Social Infrastructure'!AB48</f>
        <v>0</v>
      </c>
      <c r="Y4" s="415">
        <f>'Social Infrastructure'!AC48</f>
        <v>0</v>
      </c>
      <c r="Z4" s="415">
        <f>'Social Infrastructure'!AD48</f>
        <v>0</v>
      </c>
      <c r="AA4" s="415">
        <f>'Social Infrastructure'!AE48</f>
        <v>0</v>
      </c>
      <c r="AB4" s="415">
        <f>'Social Infrastructure'!AF48</f>
        <v>0</v>
      </c>
      <c r="AC4" s="415">
        <f>'Social Infrastructure'!AG48</f>
        <v>0</v>
      </c>
      <c r="AD4" s="415">
        <f>'Social Infrastructure'!AH48</f>
        <v>0</v>
      </c>
      <c r="AE4" s="415">
        <f>'Social Infrastructure'!AI48</f>
        <v>0</v>
      </c>
      <c r="AF4" s="415">
        <f>'Social Infrastructure'!AJ48</f>
        <v>0</v>
      </c>
      <c r="AG4" s="415">
        <f>'Social Infrastructure'!AK48</f>
        <v>0</v>
      </c>
      <c r="AH4" s="415">
        <f>'Social Infrastructure'!AL48</f>
        <v>0</v>
      </c>
      <c r="AI4" s="415">
        <f>'Social Infrastructure'!AM48</f>
        <v>0</v>
      </c>
      <c r="AJ4" s="415">
        <f>'Social Infrastructure'!AN48</f>
        <v>0</v>
      </c>
      <c r="AK4" s="415">
        <f>'Social Infrastructure'!AO48</f>
        <v>0</v>
      </c>
      <c r="AL4" s="415">
        <f>'Social Infrastructure'!AP48</f>
        <v>0</v>
      </c>
      <c r="AM4" s="415">
        <f>'Social Infrastructure'!AQ48</f>
        <v>0</v>
      </c>
      <c r="AN4" s="415">
        <f>'Social Infrastructure'!AR48</f>
        <v>0</v>
      </c>
      <c r="AO4" s="415">
        <f>'Social Infrastructure'!AS48</f>
        <v>0</v>
      </c>
      <c r="AP4" s="415">
        <f>'Social Infrastructure'!AT48</f>
        <v>0</v>
      </c>
      <c r="AQ4" s="415">
        <f>'Social Infrastructure'!AU48</f>
        <v>0</v>
      </c>
      <c r="AR4" s="415">
        <f>'Social Infrastructure'!AV48</f>
        <v>0</v>
      </c>
      <c r="AS4" s="415">
        <f>'Social Infrastructure'!AW48</f>
        <v>0</v>
      </c>
      <c r="AT4" s="415">
        <f>'Social Infrastructure'!AX48</f>
        <v>0</v>
      </c>
      <c r="AU4" s="415">
        <f>'Social Infrastructure'!AY48</f>
        <v>0</v>
      </c>
      <c r="AV4" s="415">
        <f>'Social Infrastructure'!AZ48</f>
        <v>0</v>
      </c>
      <c r="AW4" s="415">
        <f>'Social Infrastructure'!BA48</f>
        <v>0</v>
      </c>
    </row>
    <row r="5" spans="2:49" ht="15">
      <c r="B5" s="398" t="s">
        <v>617</v>
      </c>
      <c r="C5" s="398"/>
      <c r="D5" s="398" t="s">
        <v>71</v>
      </c>
      <c r="E5" s="398"/>
      <c r="G5" s="415">
        <f>IF(AND(H5&gt;0,'Social Infrastructure'!$B$85&gt;0),H5/'Social Infrastructure'!$B$85,0)</f>
        <v>0</v>
      </c>
      <c r="H5" s="415">
        <f>AVERAGE(J5:AW5)</f>
        <v>0</v>
      </c>
      <c r="I5" s="415">
        <f>SUM(J5:AW5)</f>
        <v>0</v>
      </c>
      <c r="J5" s="415">
        <f>'Social Infrastructure'!N64+'Green Infrastructure'!M15</f>
        <v>0</v>
      </c>
      <c r="K5" s="415">
        <f>'Social Infrastructure'!O64+'Green Infrastructure'!N15</f>
        <v>0</v>
      </c>
      <c r="L5" s="415">
        <f>'Social Infrastructure'!P64+'Green Infrastructure'!O15</f>
        <v>0</v>
      </c>
      <c r="M5" s="415">
        <f>'Social Infrastructure'!Q64+'Green Infrastructure'!P15</f>
        <v>0</v>
      </c>
      <c r="N5" s="415">
        <f>'Social Infrastructure'!R64+'Green Infrastructure'!Q15</f>
        <v>0</v>
      </c>
      <c r="O5" s="415">
        <f>'Social Infrastructure'!S64+'Green Infrastructure'!R15</f>
        <v>0</v>
      </c>
      <c r="P5" s="415">
        <f>'Social Infrastructure'!T64+'Green Infrastructure'!S15</f>
        <v>0</v>
      </c>
      <c r="Q5" s="415">
        <f>'Social Infrastructure'!U64+'Green Infrastructure'!T15</f>
        <v>0</v>
      </c>
      <c r="R5" s="415">
        <f>'Social Infrastructure'!V64+'Green Infrastructure'!U15</f>
        <v>0</v>
      </c>
      <c r="S5" s="415">
        <f>'Social Infrastructure'!W64+'Green Infrastructure'!V15</f>
        <v>0</v>
      </c>
      <c r="T5" s="415">
        <f>'Social Infrastructure'!X64+'Green Infrastructure'!W15</f>
        <v>0</v>
      </c>
      <c r="U5" s="415">
        <f>'Social Infrastructure'!Y64+'Green Infrastructure'!X15</f>
        <v>0</v>
      </c>
      <c r="V5" s="415">
        <f>'Social Infrastructure'!Z64+'Green Infrastructure'!Y15</f>
        <v>0</v>
      </c>
      <c r="W5" s="415">
        <f>'Social Infrastructure'!AA64+'Green Infrastructure'!Z15</f>
        <v>0</v>
      </c>
      <c r="X5" s="415">
        <f>'Social Infrastructure'!AB64+'Green Infrastructure'!AA15</f>
        <v>0</v>
      </c>
      <c r="Y5" s="415">
        <f>'Social Infrastructure'!AC64+'Green Infrastructure'!AB15</f>
        <v>0</v>
      </c>
      <c r="Z5" s="415">
        <f>'Social Infrastructure'!AD64+'Green Infrastructure'!AC15</f>
        <v>0</v>
      </c>
      <c r="AA5" s="415">
        <f>'Social Infrastructure'!AE64+'Green Infrastructure'!AD15</f>
        <v>0</v>
      </c>
      <c r="AB5" s="415">
        <f>'Social Infrastructure'!AF64+'Green Infrastructure'!AE15</f>
        <v>0</v>
      </c>
      <c r="AC5" s="415">
        <f>'Social Infrastructure'!AG64+'Green Infrastructure'!AF15</f>
        <v>0</v>
      </c>
      <c r="AD5" s="415">
        <f>'Social Infrastructure'!AH64+'Green Infrastructure'!AG15</f>
        <v>0</v>
      </c>
      <c r="AE5" s="415">
        <f>'Social Infrastructure'!AI64+'Green Infrastructure'!AH15</f>
        <v>0</v>
      </c>
      <c r="AF5" s="415">
        <f>'Social Infrastructure'!AJ64+'Green Infrastructure'!AI15</f>
        <v>0</v>
      </c>
      <c r="AG5" s="415">
        <f>'Social Infrastructure'!AK64+'Green Infrastructure'!AJ15</f>
        <v>0</v>
      </c>
      <c r="AH5" s="415">
        <f>'Social Infrastructure'!AL64+'Green Infrastructure'!AK15</f>
        <v>0</v>
      </c>
      <c r="AI5" s="415">
        <f>'Social Infrastructure'!AM64+'Green Infrastructure'!AL15</f>
        <v>0</v>
      </c>
      <c r="AJ5" s="415">
        <f>'Social Infrastructure'!AN64+'Green Infrastructure'!AM15</f>
        <v>0</v>
      </c>
      <c r="AK5" s="415">
        <f>'Social Infrastructure'!AO64+'Green Infrastructure'!AN15</f>
        <v>0</v>
      </c>
      <c r="AL5" s="415">
        <f>'Social Infrastructure'!AP64+'Green Infrastructure'!AO15</f>
        <v>0</v>
      </c>
      <c r="AM5" s="415">
        <f>'Social Infrastructure'!AQ64+'Green Infrastructure'!AP15</f>
        <v>0</v>
      </c>
      <c r="AN5" s="415">
        <f>'Social Infrastructure'!AR64+'Green Infrastructure'!AQ15</f>
        <v>0</v>
      </c>
      <c r="AO5" s="415">
        <f>'Social Infrastructure'!AS64+'Green Infrastructure'!AR15</f>
        <v>0</v>
      </c>
      <c r="AP5" s="415">
        <f>'Social Infrastructure'!AT64+'Green Infrastructure'!AS15</f>
        <v>0</v>
      </c>
      <c r="AQ5" s="415">
        <f>'Social Infrastructure'!AU64+'Green Infrastructure'!AT15</f>
        <v>0</v>
      </c>
      <c r="AR5" s="415">
        <f>'Social Infrastructure'!AV64+'Green Infrastructure'!AU15</f>
        <v>0</v>
      </c>
      <c r="AS5" s="415">
        <f>'Social Infrastructure'!AW64+'Green Infrastructure'!AV15</f>
        <v>0</v>
      </c>
      <c r="AT5" s="415">
        <f>'Social Infrastructure'!AX64+'Green Infrastructure'!AW15</f>
        <v>0</v>
      </c>
      <c r="AU5" s="415">
        <f>'Social Infrastructure'!AY64+'Green Infrastructure'!AX15</f>
        <v>0</v>
      </c>
      <c r="AV5" s="415">
        <f>'Social Infrastructure'!AZ64+'Green Infrastructure'!AY15</f>
        <v>0</v>
      </c>
      <c r="AW5" s="415">
        <f>'Social Infrastructure'!BA64+'Green Infrastructure'!AZ15</f>
        <v>0</v>
      </c>
    </row>
    <row r="6" spans="2:49" s="10" customFormat="1" ht="15">
      <c r="B6" s="396" t="s">
        <v>669</v>
      </c>
      <c r="C6" s="396"/>
      <c r="D6" s="396" t="s">
        <v>80</v>
      </c>
      <c r="E6" s="396"/>
      <c r="G6" s="414">
        <f>IF(AND(H6&gt;0,'Social Infrastructure'!$B$85&gt;0),H6/'Social Infrastructure'!$B$85,0)</f>
        <v>0</v>
      </c>
      <c r="H6" s="414">
        <f aca="true" t="shared" si="0" ref="H6">AVERAGE(J6:AW6)</f>
        <v>0</v>
      </c>
      <c r="I6" s="414">
        <f aca="true" t="shared" si="1" ref="I6">SUM(J6:AW6)</f>
        <v>0</v>
      </c>
      <c r="J6" s="414">
        <f>J3+J5</f>
        <v>0</v>
      </c>
      <c r="K6" s="414">
        <f aca="true" t="shared" si="2" ref="K6:AW6">K3+K5</f>
        <v>0</v>
      </c>
      <c r="L6" s="414">
        <f t="shared" si="2"/>
        <v>0</v>
      </c>
      <c r="M6" s="414">
        <f t="shared" si="2"/>
        <v>0</v>
      </c>
      <c r="N6" s="414">
        <f t="shared" si="2"/>
        <v>0</v>
      </c>
      <c r="O6" s="414">
        <f t="shared" si="2"/>
        <v>0</v>
      </c>
      <c r="P6" s="414">
        <f t="shared" si="2"/>
        <v>0</v>
      </c>
      <c r="Q6" s="414">
        <f t="shared" si="2"/>
        <v>0</v>
      </c>
      <c r="R6" s="414">
        <f t="shared" si="2"/>
        <v>0</v>
      </c>
      <c r="S6" s="414">
        <f t="shared" si="2"/>
        <v>0</v>
      </c>
      <c r="T6" s="414">
        <f t="shared" si="2"/>
        <v>0</v>
      </c>
      <c r="U6" s="414">
        <f t="shared" si="2"/>
        <v>0</v>
      </c>
      <c r="V6" s="414">
        <f t="shared" si="2"/>
        <v>0</v>
      </c>
      <c r="W6" s="414">
        <f t="shared" si="2"/>
        <v>0</v>
      </c>
      <c r="X6" s="414">
        <f t="shared" si="2"/>
        <v>0</v>
      </c>
      <c r="Y6" s="414">
        <f t="shared" si="2"/>
        <v>0</v>
      </c>
      <c r="Z6" s="414">
        <f t="shared" si="2"/>
        <v>0</v>
      </c>
      <c r="AA6" s="414">
        <f t="shared" si="2"/>
        <v>0</v>
      </c>
      <c r="AB6" s="414">
        <f t="shared" si="2"/>
        <v>0</v>
      </c>
      <c r="AC6" s="414">
        <f t="shared" si="2"/>
        <v>0</v>
      </c>
      <c r="AD6" s="414">
        <f t="shared" si="2"/>
        <v>0</v>
      </c>
      <c r="AE6" s="414">
        <f t="shared" si="2"/>
        <v>0</v>
      </c>
      <c r="AF6" s="414">
        <f t="shared" si="2"/>
        <v>0</v>
      </c>
      <c r="AG6" s="414">
        <f t="shared" si="2"/>
        <v>0</v>
      </c>
      <c r="AH6" s="414">
        <f t="shared" si="2"/>
        <v>0</v>
      </c>
      <c r="AI6" s="414">
        <f t="shared" si="2"/>
        <v>0</v>
      </c>
      <c r="AJ6" s="414">
        <f t="shared" si="2"/>
        <v>0</v>
      </c>
      <c r="AK6" s="414">
        <f t="shared" si="2"/>
        <v>0</v>
      </c>
      <c r="AL6" s="414">
        <f t="shared" si="2"/>
        <v>0</v>
      </c>
      <c r="AM6" s="414">
        <f t="shared" si="2"/>
        <v>0</v>
      </c>
      <c r="AN6" s="414">
        <f t="shared" si="2"/>
        <v>0</v>
      </c>
      <c r="AO6" s="414">
        <f t="shared" si="2"/>
        <v>0</v>
      </c>
      <c r="AP6" s="414">
        <f t="shared" si="2"/>
        <v>0</v>
      </c>
      <c r="AQ6" s="414">
        <f t="shared" si="2"/>
        <v>0</v>
      </c>
      <c r="AR6" s="414">
        <f t="shared" si="2"/>
        <v>0</v>
      </c>
      <c r="AS6" s="414">
        <f t="shared" si="2"/>
        <v>0</v>
      </c>
      <c r="AT6" s="414">
        <f t="shared" si="2"/>
        <v>0</v>
      </c>
      <c r="AU6" s="414">
        <f t="shared" si="2"/>
        <v>0</v>
      </c>
      <c r="AV6" s="414">
        <f t="shared" si="2"/>
        <v>0</v>
      </c>
      <c r="AW6" s="414">
        <f t="shared" si="2"/>
        <v>0</v>
      </c>
    </row>
    <row r="7" spans="2:9" ht="15">
      <c r="B7" s="398" t="s">
        <v>618</v>
      </c>
      <c r="C7" s="398"/>
      <c r="D7" s="398" t="s">
        <v>250</v>
      </c>
      <c r="E7" s="398"/>
      <c r="G7" s="415">
        <f>IF(AND(H7&gt;0,'Social Infrastructure'!$B$85&gt;0),H7/'Social Infrastructure'!$B$85,0)</f>
        <v>0</v>
      </c>
      <c r="H7" s="415">
        <f aca="true" t="shared" si="3" ref="H7:H10">I7/40</f>
        <v>0</v>
      </c>
      <c r="I7" s="415">
        <f>NPV('Social Infrastructure'!$C$79,J3:AW3)</f>
        <v>0</v>
      </c>
    </row>
    <row r="8" spans="2:9" ht="15">
      <c r="B8" s="398" t="s">
        <v>619</v>
      </c>
      <c r="C8" s="398"/>
      <c r="D8" s="398" t="s">
        <v>71</v>
      </c>
      <c r="E8" s="398"/>
      <c r="G8" s="415">
        <f>IF(AND(H8&gt;0,'Social Infrastructure'!$B$85&gt;0),H8/'Social Infrastructure'!$B$85,0)</f>
        <v>0</v>
      </c>
      <c r="H8" s="415">
        <f t="shared" si="3"/>
        <v>0</v>
      </c>
      <c r="I8" s="415">
        <f>NPV('Social Infrastructure'!$C$79,J4:AW4)</f>
        <v>0</v>
      </c>
    </row>
    <row r="9" spans="2:9" ht="15">
      <c r="B9" s="398" t="s">
        <v>620</v>
      </c>
      <c r="C9" s="398"/>
      <c r="D9" s="398" t="s">
        <v>67</v>
      </c>
      <c r="E9" s="398"/>
      <c r="G9" s="415">
        <f>IF(AND(H9&gt;0,'Social Infrastructure'!$B$85&gt;0),H9/'Social Infrastructure'!$B$85,0)</f>
        <v>0</v>
      </c>
      <c r="H9" s="415">
        <f t="shared" si="3"/>
        <v>0</v>
      </c>
      <c r="I9" s="415">
        <f>NPV('Social Infrastructure'!$C$79,J5:AW5)</f>
        <v>0</v>
      </c>
    </row>
    <row r="10" spans="2:9" s="10" customFormat="1" ht="15">
      <c r="B10" s="396" t="s">
        <v>621</v>
      </c>
      <c r="C10" s="396"/>
      <c r="D10" s="396"/>
      <c r="E10" s="396"/>
      <c r="G10" s="414">
        <f>IF(AND(H10&gt;0,'Social Infrastructure'!$B$85&gt;0),H10/'Social Infrastructure'!$B$85,0)</f>
        <v>0</v>
      </c>
      <c r="H10" s="414">
        <f t="shared" si="3"/>
        <v>0</v>
      </c>
      <c r="I10" s="414">
        <f>NPV('Social Infrastructure'!$C$79,J6:AW6)</f>
        <v>0</v>
      </c>
    </row>
    <row r="11" spans="2:9" ht="6.75" customHeight="1">
      <c r="B11" s="401"/>
      <c r="C11" s="401"/>
      <c r="D11" s="401"/>
      <c r="E11" s="402"/>
      <c r="G11" s="401"/>
      <c r="H11" s="401"/>
      <c r="I11" s="401"/>
    </row>
    <row r="12" spans="2:49" ht="15">
      <c r="B12" s="396" t="s">
        <v>613</v>
      </c>
      <c r="C12" s="403"/>
      <c r="D12" s="403"/>
      <c r="E12" s="404"/>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row>
    <row r="13" spans="1:49" s="240" customFormat="1" ht="15">
      <c r="A13"/>
      <c r="B13" s="396" t="s">
        <v>657</v>
      </c>
      <c r="C13" s="403"/>
      <c r="D13" s="403"/>
      <c r="E13" s="404"/>
      <c r="F1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row>
    <row r="14" spans="2:49" s="240" customFormat="1" ht="15">
      <c r="B14" s="398" t="s">
        <v>687</v>
      </c>
      <c r="C14" s="398"/>
      <c r="D14" s="398" t="s">
        <v>67</v>
      </c>
      <c r="E14" s="405"/>
      <c r="G14" s="400">
        <f>IF(AND(H14&gt;0,'Social Infrastructure'!$B$85&gt;0),H14/'Social Infrastructure'!$B$85,0)</f>
        <v>0</v>
      </c>
      <c r="H14" s="400">
        <f aca="true" t="shared" si="4" ref="H14:H15">AVERAGE(J14:AW14)</f>
        <v>0</v>
      </c>
      <c r="I14" s="400">
        <f aca="true" t="shared" si="5" ref="I14:I15">SUM(J14:AW14)</f>
        <v>0</v>
      </c>
      <c r="J14" s="400">
        <f>'Green Infrastructure'!M42</f>
        <v>0</v>
      </c>
      <c r="K14" s="400">
        <f>'Green Infrastructure'!N42</f>
        <v>0</v>
      </c>
      <c r="L14" s="400">
        <f>'Green Infrastructure'!O42</f>
        <v>0</v>
      </c>
      <c r="M14" s="400">
        <f>'Green Infrastructure'!P42</f>
        <v>0</v>
      </c>
      <c r="N14" s="400">
        <f>'Green Infrastructure'!Q42</f>
        <v>0</v>
      </c>
      <c r="O14" s="400">
        <f>'Green Infrastructure'!R42</f>
        <v>0</v>
      </c>
      <c r="P14" s="400">
        <f>'Green Infrastructure'!S42</f>
        <v>0</v>
      </c>
      <c r="Q14" s="400">
        <f>'Green Infrastructure'!T42</f>
        <v>0</v>
      </c>
      <c r="R14" s="400">
        <f>'Green Infrastructure'!U42</f>
        <v>0</v>
      </c>
      <c r="S14" s="400">
        <f>'Green Infrastructure'!V42</f>
        <v>0</v>
      </c>
      <c r="T14" s="400">
        <f>'Green Infrastructure'!W42</f>
        <v>0</v>
      </c>
      <c r="U14" s="400">
        <f>'Green Infrastructure'!X42</f>
        <v>0</v>
      </c>
      <c r="V14" s="400">
        <f>'Green Infrastructure'!Y42</f>
        <v>0</v>
      </c>
      <c r="W14" s="400">
        <f>'Green Infrastructure'!Z42</f>
        <v>0</v>
      </c>
      <c r="X14" s="400">
        <f>'Green Infrastructure'!AA42</f>
        <v>0</v>
      </c>
      <c r="Y14" s="400">
        <f>'Green Infrastructure'!AB42</f>
        <v>0</v>
      </c>
      <c r="Z14" s="400">
        <f>'Green Infrastructure'!AC42</f>
        <v>0</v>
      </c>
      <c r="AA14" s="400">
        <f>'Green Infrastructure'!AD42</f>
        <v>0</v>
      </c>
      <c r="AB14" s="400">
        <f>'Green Infrastructure'!AE42</f>
        <v>0</v>
      </c>
      <c r="AC14" s="400">
        <f>'Green Infrastructure'!AF42</f>
        <v>0</v>
      </c>
      <c r="AD14" s="400">
        <f>'Green Infrastructure'!AG42</f>
        <v>0</v>
      </c>
      <c r="AE14" s="400">
        <f>'Green Infrastructure'!AH42</f>
        <v>0</v>
      </c>
      <c r="AF14" s="400">
        <f>'Green Infrastructure'!AI42</f>
        <v>0</v>
      </c>
      <c r="AG14" s="400">
        <f>'Green Infrastructure'!AJ42</f>
        <v>0</v>
      </c>
      <c r="AH14" s="400">
        <f>'Green Infrastructure'!AK42</f>
        <v>0</v>
      </c>
      <c r="AI14" s="400">
        <f>'Green Infrastructure'!AL42</f>
        <v>0</v>
      </c>
      <c r="AJ14" s="400">
        <f>'Green Infrastructure'!AM42</f>
        <v>0</v>
      </c>
      <c r="AK14" s="400">
        <f>'Green Infrastructure'!AN42</f>
        <v>0</v>
      </c>
      <c r="AL14" s="400">
        <f>'Green Infrastructure'!AO42</f>
        <v>0</v>
      </c>
      <c r="AM14" s="400">
        <f>'Green Infrastructure'!AP42</f>
        <v>0</v>
      </c>
      <c r="AN14" s="400">
        <f>'Green Infrastructure'!AQ42</f>
        <v>0</v>
      </c>
      <c r="AO14" s="400">
        <f>'Green Infrastructure'!AR42</f>
        <v>0</v>
      </c>
      <c r="AP14" s="400">
        <f>'Green Infrastructure'!AS42</f>
        <v>0</v>
      </c>
      <c r="AQ14" s="400">
        <f>'Green Infrastructure'!AT42</f>
        <v>0</v>
      </c>
      <c r="AR14" s="400">
        <f>'Green Infrastructure'!AU42</f>
        <v>0</v>
      </c>
      <c r="AS14" s="400">
        <f>'Green Infrastructure'!AV42</f>
        <v>0</v>
      </c>
      <c r="AT14" s="400">
        <f>'Green Infrastructure'!AW42</f>
        <v>0</v>
      </c>
      <c r="AU14" s="400">
        <f>'Green Infrastructure'!AX42</f>
        <v>0</v>
      </c>
      <c r="AV14" s="400">
        <f>'Green Infrastructure'!AY42</f>
        <v>0</v>
      </c>
      <c r="AW14" s="400">
        <f>'Green Infrastructure'!AZ42</f>
        <v>0</v>
      </c>
    </row>
    <row r="15" spans="2:49" s="240" customFormat="1" ht="15">
      <c r="B15" s="398" t="s">
        <v>656</v>
      </c>
      <c r="C15" s="398"/>
      <c r="D15" s="398" t="s">
        <v>67</v>
      </c>
      <c r="E15" s="405"/>
      <c r="G15" s="399">
        <f>IF(AND(H15&gt;0,'Social Infrastructure'!$B$85&gt;0),H15/'Social Infrastructure'!$B$85,0)</f>
        <v>0</v>
      </c>
      <c r="H15" s="399">
        <f t="shared" si="4"/>
        <v>0</v>
      </c>
      <c r="I15" s="399">
        <f t="shared" si="5"/>
        <v>0</v>
      </c>
      <c r="J15" s="399">
        <f>'Green Infrastructure'!M44</f>
        <v>0</v>
      </c>
      <c r="K15" s="399">
        <f>'Green Infrastructure'!N44</f>
        <v>0</v>
      </c>
      <c r="L15" s="399">
        <f>'Green Infrastructure'!O44</f>
        <v>0</v>
      </c>
      <c r="M15" s="399">
        <f>'Green Infrastructure'!P44</f>
        <v>0</v>
      </c>
      <c r="N15" s="399">
        <f>'Green Infrastructure'!Q44</f>
        <v>0</v>
      </c>
      <c r="O15" s="399">
        <f>'Green Infrastructure'!R44</f>
        <v>0</v>
      </c>
      <c r="P15" s="399">
        <f>'Green Infrastructure'!S44</f>
        <v>0</v>
      </c>
      <c r="Q15" s="399">
        <f>'Green Infrastructure'!T44</f>
        <v>0</v>
      </c>
      <c r="R15" s="399">
        <f>'Green Infrastructure'!U44</f>
        <v>0</v>
      </c>
      <c r="S15" s="399">
        <f>'Green Infrastructure'!V44</f>
        <v>0</v>
      </c>
      <c r="T15" s="399">
        <f>'Green Infrastructure'!W44</f>
        <v>0</v>
      </c>
      <c r="U15" s="399">
        <f>'Green Infrastructure'!X44</f>
        <v>0</v>
      </c>
      <c r="V15" s="399">
        <f>'Green Infrastructure'!Y44</f>
        <v>0</v>
      </c>
      <c r="W15" s="399">
        <f>'Green Infrastructure'!Z44</f>
        <v>0</v>
      </c>
      <c r="X15" s="399">
        <f>'Green Infrastructure'!AA44</f>
        <v>0</v>
      </c>
      <c r="Y15" s="399">
        <f>'Green Infrastructure'!AB44</f>
        <v>0</v>
      </c>
      <c r="Z15" s="399">
        <f>'Green Infrastructure'!AC44</f>
        <v>0</v>
      </c>
      <c r="AA15" s="399">
        <f>'Green Infrastructure'!AD44</f>
        <v>0</v>
      </c>
      <c r="AB15" s="399">
        <f>'Green Infrastructure'!AE44</f>
        <v>0</v>
      </c>
      <c r="AC15" s="399">
        <f>'Green Infrastructure'!AF44</f>
        <v>0</v>
      </c>
      <c r="AD15" s="399">
        <f>'Green Infrastructure'!AG44</f>
        <v>0</v>
      </c>
      <c r="AE15" s="399">
        <f>'Green Infrastructure'!AH44</f>
        <v>0</v>
      </c>
      <c r="AF15" s="399">
        <f>'Green Infrastructure'!AI44</f>
        <v>0</v>
      </c>
      <c r="AG15" s="399">
        <f>'Green Infrastructure'!AJ44</f>
        <v>0</v>
      </c>
      <c r="AH15" s="399">
        <f>'Green Infrastructure'!AK44</f>
        <v>0</v>
      </c>
      <c r="AI15" s="399">
        <f>'Green Infrastructure'!AL44</f>
        <v>0</v>
      </c>
      <c r="AJ15" s="399">
        <f>'Green Infrastructure'!AM44</f>
        <v>0</v>
      </c>
      <c r="AK15" s="399">
        <f>'Green Infrastructure'!AN44</f>
        <v>0</v>
      </c>
      <c r="AL15" s="399">
        <f>'Green Infrastructure'!AO44</f>
        <v>0</v>
      </c>
      <c r="AM15" s="399">
        <f>'Green Infrastructure'!AP44</f>
        <v>0</v>
      </c>
      <c r="AN15" s="399">
        <f>'Green Infrastructure'!AQ44</f>
        <v>0</v>
      </c>
      <c r="AO15" s="399">
        <f>'Green Infrastructure'!AR44</f>
        <v>0</v>
      </c>
      <c r="AP15" s="399">
        <f>'Green Infrastructure'!AS44</f>
        <v>0</v>
      </c>
      <c r="AQ15" s="399">
        <f>'Green Infrastructure'!AT44</f>
        <v>0</v>
      </c>
      <c r="AR15" s="399">
        <f>'Green Infrastructure'!AU44</f>
        <v>0</v>
      </c>
      <c r="AS15" s="399">
        <f>'Green Infrastructure'!AV44</f>
        <v>0</v>
      </c>
      <c r="AT15" s="399">
        <f>'Green Infrastructure'!AW44</f>
        <v>0</v>
      </c>
      <c r="AU15" s="399">
        <f>'Green Infrastructure'!AX44</f>
        <v>0</v>
      </c>
      <c r="AV15" s="399">
        <f>'Green Infrastructure'!AY44</f>
        <v>0</v>
      </c>
      <c r="AW15" s="399">
        <f>'Green Infrastructure'!AZ44</f>
        <v>0</v>
      </c>
    </row>
    <row r="16" spans="2:49" s="240" customFormat="1" ht="15">
      <c r="B16" s="398" t="s">
        <v>689</v>
      </c>
      <c r="C16" s="398"/>
      <c r="D16" s="398" t="s">
        <v>67</v>
      </c>
      <c r="E16" s="405"/>
      <c r="G16" s="462">
        <f>IF(AND(H16&gt;0,'Social Infrastructure'!$B$85&gt;0),H16/'Social Infrastructure'!$B$85,0)</f>
        <v>0</v>
      </c>
      <c r="H16" s="462">
        <f aca="true" t="shared" si="6" ref="H16:H17">AVERAGE(J16:AW16)</f>
        <v>0</v>
      </c>
      <c r="I16" s="462">
        <f aca="true" t="shared" si="7" ref="I16:I17">SUM(J16:AW16)</f>
        <v>0</v>
      </c>
      <c r="J16" s="462">
        <f>'Green Infrastructure'!M43</f>
        <v>0</v>
      </c>
      <c r="K16" s="462">
        <f>'Green Infrastructure'!N43</f>
        <v>0</v>
      </c>
      <c r="L16" s="462">
        <f>'Green Infrastructure'!O43</f>
        <v>0</v>
      </c>
      <c r="M16" s="462">
        <f>'Green Infrastructure'!P43</f>
        <v>0</v>
      </c>
      <c r="N16" s="462">
        <f>'Green Infrastructure'!Q43</f>
        <v>0</v>
      </c>
      <c r="O16" s="462">
        <f>'Green Infrastructure'!R43</f>
        <v>0</v>
      </c>
      <c r="P16" s="462">
        <f>'Green Infrastructure'!S43</f>
        <v>0</v>
      </c>
      <c r="Q16" s="462">
        <f>'Green Infrastructure'!T43</f>
        <v>0</v>
      </c>
      <c r="R16" s="462">
        <f>'Green Infrastructure'!U43</f>
        <v>0</v>
      </c>
      <c r="S16" s="462">
        <f>'Green Infrastructure'!V43</f>
        <v>0</v>
      </c>
      <c r="T16" s="462">
        <f>'Green Infrastructure'!W43</f>
        <v>0</v>
      </c>
      <c r="U16" s="462">
        <f>'Green Infrastructure'!X43</f>
        <v>0</v>
      </c>
      <c r="V16" s="462">
        <f>'Green Infrastructure'!Y43</f>
        <v>0</v>
      </c>
      <c r="W16" s="462">
        <f>'Green Infrastructure'!Z43</f>
        <v>0</v>
      </c>
      <c r="X16" s="462">
        <f>'Green Infrastructure'!AA43</f>
        <v>0</v>
      </c>
      <c r="Y16" s="462">
        <f>'Green Infrastructure'!AB43</f>
        <v>0</v>
      </c>
      <c r="Z16" s="462">
        <f>'Green Infrastructure'!AC43</f>
        <v>0</v>
      </c>
      <c r="AA16" s="462">
        <f>'Green Infrastructure'!AD43</f>
        <v>0</v>
      </c>
      <c r="AB16" s="462">
        <f>'Green Infrastructure'!AE43</f>
        <v>0</v>
      </c>
      <c r="AC16" s="462">
        <f>'Green Infrastructure'!AF43</f>
        <v>0</v>
      </c>
      <c r="AD16" s="462">
        <f>'Green Infrastructure'!AG43</f>
        <v>0</v>
      </c>
      <c r="AE16" s="462">
        <f>'Green Infrastructure'!AH43</f>
        <v>0</v>
      </c>
      <c r="AF16" s="462">
        <f>'Green Infrastructure'!AI43</f>
        <v>0</v>
      </c>
      <c r="AG16" s="462">
        <f>'Green Infrastructure'!AJ43</f>
        <v>0</v>
      </c>
      <c r="AH16" s="462">
        <f>'Green Infrastructure'!AK43</f>
        <v>0</v>
      </c>
      <c r="AI16" s="462">
        <f>'Green Infrastructure'!AL43</f>
        <v>0</v>
      </c>
      <c r="AJ16" s="462">
        <f>'Green Infrastructure'!AM43</f>
        <v>0</v>
      </c>
      <c r="AK16" s="462">
        <f>'Green Infrastructure'!AN43</f>
        <v>0</v>
      </c>
      <c r="AL16" s="462">
        <f>'Green Infrastructure'!AO43</f>
        <v>0</v>
      </c>
      <c r="AM16" s="462">
        <f>'Green Infrastructure'!AP43</f>
        <v>0</v>
      </c>
      <c r="AN16" s="462">
        <f>'Green Infrastructure'!AQ43</f>
        <v>0</v>
      </c>
      <c r="AO16" s="462">
        <f>'Green Infrastructure'!AR43</f>
        <v>0</v>
      </c>
      <c r="AP16" s="462">
        <f>'Green Infrastructure'!AS43</f>
        <v>0</v>
      </c>
      <c r="AQ16" s="462">
        <f>'Green Infrastructure'!AT43</f>
        <v>0</v>
      </c>
      <c r="AR16" s="462">
        <f>'Green Infrastructure'!AU43</f>
        <v>0</v>
      </c>
      <c r="AS16" s="462">
        <f>'Green Infrastructure'!AV43</f>
        <v>0</v>
      </c>
      <c r="AT16" s="462">
        <f>'Green Infrastructure'!AW43</f>
        <v>0</v>
      </c>
      <c r="AU16" s="462">
        <f>'Green Infrastructure'!AX43</f>
        <v>0</v>
      </c>
      <c r="AV16" s="462">
        <f>'Green Infrastructure'!AY43</f>
        <v>0</v>
      </c>
      <c r="AW16" s="462">
        <f>'Green Infrastructure'!AZ43</f>
        <v>0</v>
      </c>
    </row>
    <row r="17" spans="2:49" s="240" customFormat="1" ht="15">
      <c r="B17" s="398" t="s">
        <v>684</v>
      </c>
      <c r="C17" s="398"/>
      <c r="D17" s="398" t="s">
        <v>67</v>
      </c>
      <c r="E17" s="405"/>
      <c r="G17" s="399">
        <f>IF(AND(H17&gt;0,'Social Infrastructure'!$B$85&gt;0),H17/'Social Infrastructure'!$B$85,0)</f>
        <v>0</v>
      </c>
      <c r="H17" s="399">
        <f t="shared" si="6"/>
        <v>0</v>
      </c>
      <c r="I17" s="399">
        <f t="shared" si="7"/>
        <v>0</v>
      </c>
      <c r="J17" s="399">
        <f>'Green Infrastructure'!M45</f>
        <v>0</v>
      </c>
      <c r="K17" s="399">
        <f>'Green Infrastructure'!N45</f>
        <v>0</v>
      </c>
      <c r="L17" s="399">
        <f>'Green Infrastructure'!O45</f>
        <v>0</v>
      </c>
      <c r="M17" s="399">
        <f>'Green Infrastructure'!P45</f>
        <v>0</v>
      </c>
      <c r="N17" s="399">
        <f>'Green Infrastructure'!Q45</f>
        <v>0</v>
      </c>
      <c r="O17" s="399">
        <f>'Green Infrastructure'!R45</f>
        <v>0</v>
      </c>
      <c r="P17" s="399">
        <f>'Green Infrastructure'!S45</f>
        <v>0</v>
      </c>
      <c r="Q17" s="399">
        <f>'Green Infrastructure'!T45</f>
        <v>0</v>
      </c>
      <c r="R17" s="399">
        <f>'Green Infrastructure'!U45</f>
        <v>0</v>
      </c>
      <c r="S17" s="399">
        <f>'Green Infrastructure'!V45</f>
        <v>0</v>
      </c>
      <c r="T17" s="399">
        <f>'Green Infrastructure'!W45</f>
        <v>0</v>
      </c>
      <c r="U17" s="399">
        <f>'Green Infrastructure'!X45</f>
        <v>0</v>
      </c>
      <c r="V17" s="399">
        <f>'Green Infrastructure'!Y45</f>
        <v>0</v>
      </c>
      <c r="W17" s="399">
        <f>'Green Infrastructure'!Z45</f>
        <v>0</v>
      </c>
      <c r="X17" s="399">
        <f>'Green Infrastructure'!AA45</f>
        <v>0</v>
      </c>
      <c r="Y17" s="399">
        <f>'Green Infrastructure'!AB45</f>
        <v>0</v>
      </c>
      <c r="Z17" s="399">
        <f>'Green Infrastructure'!AC45</f>
        <v>0</v>
      </c>
      <c r="AA17" s="399">
        <f>'Green Infrastructure'!AD45</f>
        <v>0</v>
      </c>
      <c r="AB17" s="399">
        <f>'Green Infrastructure'!AE45</f>
        <v>0</v>
      </c>
      <c r="AC17" s="399">
        <f>'Green Infrastructure'!AF45</f>
        <v>0</v>
      </c>
      <c r="AD17" s="399">
        <f>'Green Infrastructure'!AG45</f>
        <v>0</v>
      </c>
      <c r="AE17" s="399">
        <f>'Green Infrastructure'!AH45</f>
        <v>0</v>
      </c>
      <c r="AF17" s="399">
        <f>'Green Infrastructure'!AI45</f>
        <v>0</v>
      </c>
      <c r="AG17" s="399">
        <f>'Green Infrastructure'!AJ45</f>
        <v>0</v>
      </c>
      <c r="AH17" s="399">
        <f>'Green Infrastructure'!AK45</f>
        <v>0</v>
      </c>
      <c r="AI17" s="399">
        <f>'Green Infrastructure'!AL45</f>
        <v>0</v>
      </c>
      <c r="AJ17" s="399">
        <f>'Green Infrastructure'!AM45</f>
        <v>0</v>
      </c>
      <c r="AK17" s="399">
        <f>'Green Infrastructure'!AN45</f>
        <v>0</v>
      </c>
      <c r="AL17" s="399">
        <f>'Green Infrastructure'!AO45</f>
        <v>0</v>
      </c>
      <c r="AM17" s="399">
        <f>'Green Infrastructure'!AP45</f>
        <v>0</v>
      </c>
      <c r="AN17" s="399">
        <f>'Green Infrastructure'!AQ45</f>
        <v>0</v>
      </c>
      <c r="AO17" s="399">
        <f>'Green Infrastructure'!AR45</f>
        <v>0</v>
      </c>
      <c r="AP17" s="399">
        <f>'Green Infrastructure'!AS45</f>
        <v>0</v>
      </c>
      <c r="AQ17" s="399">
        <f>'Green Infrastructure'!AT45</f>
        <v>0</v>
      </c>
      <c r="AR17" s="399">
        <f>'Green Infrastructure'!AU45</f>
        <v>0</v>
      </c>
      <c r="AS17" s="399">
        <f>'Green Infrastructure'!AV45</f>
        <v>0</v>
      </c>
      <c r="AT17" s="399">
        <f>'Green Infrastructure'!AW45</f>
        <v>0</v>
      </c>
      <c r="AU17" s="399">
        <f>'Green Infrastructure'!AX45</f>
        <v>0</v>
      </c>
      <c r="AV17" s="399">
        <f>'Green Infrastructure'!AY45</f>
        <v>0</v>
      </c>
      <c r="AW17" s="399">
        <f>'Green Infrastructure'!AZ45</f>
        <v>0</v>
      </c>
    </row>
    <row r="18" spans="1:49" s="240" customFormat="1" ht="15">
      <c r="A18"/>
      <c r="B18" s="397" t="s">
        <v>514</v>
      </c>
      <c r="C18" s="404"/>
      <c r="D18" s="404"/>
      <c r="E18" s="404"/>
      <c r="F18" s="10"/>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row>
    <row r="19" spans="2:49" ht="15">
      <c r="B19" s="400" t="s">
        <v>654</v>
      </c>
      <c r="C19" s="400"/>
      <c r="D19" s="400" t="s">
        <v>67</v>
      </c>
      <c r="E19" s="400"/>
      <c r="G19" s="400">
        <f>IF(AND(H19&gt;0,'Social Infrastructure'!$B$85&gt;0),H19/'Social Infrastructure'!$B$85,0)</f>
        <v>0</v>
      </c>
      <c r="H19" s="400">
        <f aca="true" t="shared" si="8" ref="H19:H20">AVERAGE(J19:AW19)</f>
        <v>0</v>
      </c>
      <c r="I19" s="400">
        <f aca="true" t="shared" si="9" ref="I19:I20">SUM(J19:AW19)</f>
        <v>0</v>
      </c>
      <c r="J19" s="400">
        <f>J14+J16</f>
        <v>0</v>
      </c>
      <c r="K19" s="400">
        <f aca="true" t="shared" si="10" ref="K19:AW19">K14+K16</f>
        <v>0</v>
      </c>
      <c r="L19" s="400">
        <f t="shared" si="10"/>
        <v>0</v>
      </c>
      <c r="M19" s="400">
        <f t="shared" si="10"/>
        <v>0</v>
      </c>
      <c r="N19" s="400">
        <f t="shared" si="10"/>
        <v>0</v>
      </c>
      <c r="O19" s="400">
        <f t="shared" si="10"/>
        <v>0</v>
      </c>
      <c r="P19" s="400">
        <f t="shared" si="10"/>
        <v>0</v>
      </c>
      <c r="Q19" s="400">
        <f t="shared" si="10"/>
        <v>0</v>
      </c>
      <c r="R19" s="400">
        <f t="shared" si="10"/>
        <v>0</v>
      </c>
      <c r="S19" s="400">
        <f t="shared" si="10"/>
        <v>0</v>
      </c>
      <c r="T19" s="400">
        <f t="shared" si="10"/>
        <v>0</v>
      </c>
      <c r="U19" s="400">
        <f t="shared" si="10"/>
        <v>0</v>
      </c>
      <c r="V19" s="400">
        <f t="shared" si="10"/>
        <v>0</v>
      </c>
      <c r="W19" s="400">
        <f t="shared" si="10"/>
        <v>0</v>
      </c>
      <c r="X19" s="400">
        <f t="shared" si="10"/>
        <v>0</v>
      </c>
      <c r="Y19" s="400">
        <f t="shared" si="10"/>
        <v>0</v>
      </c>
      <c r="Z19" s="400">
        <f t="shared" si="10"/>
        <v>0</v>
      </c>
      <c r="AA19" s="400">
        <f t="shared" si="10"/>
        <v>0</v>
      </c>
      <c r="AB19" s="400">
        <f t="shared" si="10"/>
        <v>0</v>
      </c>
      <c r="AC19" s="400">
        <f t="shared" si="10"/>
        <v>0</v>
      </c>
      <c r="AD19" s="400">
        <f t="shared" si="10"/>
        <v>0</v>
      </c>
      <c r="AE19" s="400">
        <f t="shared" si="10"/>
        <v>0</v>
      </c>
      <c r="AF19" s="400">
        <f t="shared" si="10"/>
        <v>0</v>
      </c>
      <c r="AG19" s="400">
        <f t="shared" si="10"/>
        <v>0</v>
      </c>
      <c r="AH19" s="400">
        <f t="shared" si="10"/>
        <v>0</v>
      </c>
      <c r="AI19" s="400">
        <f t="shared" si="10"/>
        <v>0</v>
      </c>
      <c r="AJ19" s="400">
        <f t="shared" si="10"/>
        <v>0</v>
      </c>
      <c r="AK19" s="400">
        <f t="shared" si="10"/>
        <v>0</v>
      </c>
      <c r="AL19" s="400">
        <f t="shared" si="10"/>
        <v>0</v>
      </c>
      <c r="AM19" s="400">
        <f t="shared" si="10"/>
        <v>0</v>
      </c>
      <c r="AN19" s="400">
        <f t="shared" si="10"/>
        <v>0</v>
      </c>
      <c r="AO19" s="400">
        <f t="shared" si="10"/>
        <v>0</v>
      </c>
      <c r="AP19" s="400">
        <f t="shared" si="10"/>
        <v>0</v>
      </c>
      <c r="AQ19" s="400">
        <f t="shared" si="10"/>
        <v>0</v>
      </c>
      <c r="AR19" s="400">
        <f t="shared" si="10"/>
        <v>0</v>
      </c>
      <c r="AS19" s="400">
        <f t="shared" si="10"/>
        <v>0</v>
      </c>
      <c r="AT19" s="400">
        <f t="shared" si="10"/>
        <v>0</v>
      </c>
      <c r="AU19" s="400">
        <f t="shared" si="10"/>
        <v>0</v>
      </c>
      <c r="AV19" s="400">
        <f t="shared" si="10"/>
        <v>0</v>
      </c>
      <c r="AW19" s="400">
        <f t="shared" si="10"/>
        <v>0</v>
      </c>
    </row>
    <row r="20" spans="2:49" ht="15">
      <c r="B20" s="400" t="s">
        <v>655</v>
      </c>
      <c r="C20" s="400"/>
      <c r="D20" s="400" t="s">
        <v>67</v>
      </c>
      <c r="E20" s="400"/>
      <c r="G20" s="399">
        <f>IF(AND(H20&gt;0,'Social Infrastructure'!$B$85&gt;0),H20/'Social Infrastructure'!$B$85,0)</f>
        <v>0</v>
      </c>
      <c r="H20" s="399">
        <f t="shared" si="8"/>
        <v>0</v>
      </c>
      <c r="I20" s="399">
        <f t="shared" si="9"/>
        <v>0</v>
      </c>
      <c r="J20" s="399">
        <f>J15+J17</f>
        <v>0</v>
      </c>
      <c r="K20" s="399">
        <f aca="true" t="shared" si="11" ref="K20:AW20">K15+K17</f>
        <v>0</v>
      </c>
      <c r="L20" s="399">
        <f t="shared" si="11"/>
        <v>0</v>
      </c>
      <c r="M20" s="399">
        <f t="shared" si="11"/>
        <v>0</v>
      </c>
      <c r="N20" s="399">
        <f t="shared" si="11"/>
        <v>0</v>
      </c>
      <c r="O20" s="399">
        <f t="shared" si="11"/>
        <v>0</v>
      </c>
      <c r="P20" s="399">
        <f t="shared" si="11"/>
        <v>0</v>
      </c>
      <c r="Q20" s="399">
        <f t="shared" si="11"/>
        <v>0</v>
      </c>
      <c r="R20" s="399">
        <f t="shared" si="11"/>
        <v>0</v>
      </c>
      <c r="S20" s="399">
        <f t="shared" si="11"/>
        <v>0</v>
      </c>
      <c r="T20" s="399">
        <f t="shared" si="11"/>
        <v>0</v>
      </c>
      <c r="U20" s="399">
        <f t="shared" si="11"/>
        <v>0</v>
      </c>
      <c r="V20" s="399">
        <f t="shared" si="11"/>
        <v>0</v>
      </c>
      <c r="W20" s="399">
        <f t="shared" si="11"/>
        <v>0</v>
      </c>
      <c r="X20" s="399">
        <f t="shared" si="11"/>
        <v>0</v>
      </c>
      <c r="Y20" s="399">
        <f t="shared" si="11"/>
        <v>0</v>
      </c>
      <c r="Z20" s="399">
        <f t="shared" si="11"/>
        <v>0</v>
      </c>
      <c r="AA20" s="399">
        <f t="shared" si="11"/>
        <v>0</v>
      </c>
      <c r="AB20" s="399">
        <f t="shared" si="11"/>
        <v>0</v>
      </c>
      <c r="AC20" s="399">
        <f t="shared" si="11"/>
        <v>0</v>
      </c>
      <c r="AD20" s="399">
        <f t="shared" si="11"/>
        <v>0</v>
      </c>
      <c r="AE20" s="399">
        <f t="shared" si="11"/>
        <v>0</v>
      </c>
      <c r="AF20" s="399">
        <f t="shared" si="11"/>
        <v>0</v>
      </c>
      <c r="AG20" s="399">
        <f t="shared" si="11"/>
        <v>0</v>
      </c>
      <c r="AH20" s="399">
        <f t="shared" si="11"/>
        <v>0</v>
      </c>
      <c r="AI20" s="399">
        <f t="shared" si="11"/>
        <v>0</v>
      </c>
      <c r="AJ20" s="399">
        <f t="shared" si="11"/>
        <v>0</v>
      </c>
      <c r="AK20" s="399">
        <f t="shared" si="11"/>
        <v>0</v>
      </c>
      <c r="AL20" s="399">
        <f t="shared" si="11"/>
        <v>0</v>
      </c>
      <c r="AM20" s="399">
        <f t="shared" si="11"/>
        <v>0</v>
      </c>
      <c r="AN20" s="399">
        <f t="shared" si="11"/>
        <v>0</v>
      </c>
      <c r="AO20" s="399">
        <f t="shared" si="11"/>
        <v>0</v>
      </c>
      <c r="AP20" s="399">
        <f t="shared" si="11"/>
        <v>0</v>
      </c>
      <c r="AQ20" s="399">
        <f t="shared" si="11"/>
        <v>0</v>
      </c>
      <c r="AR20" s="399">
        <f t="shared" si="11"/>
        <v>0</v>
      </c>
      <c r="AS20" s="399">
        <f t="shared" si="11"/>
        <v>0</v>
      </c>
      <c r="AT20" s="399">
        <f t="shared" si="11"/>
        <v>0</v>
      </c>
      <c r="AU20" s="399">
        <f t="shared" si="11"/>
        <v>0</v>
      </c>
      <c r="AV20" s="399">
        <f t="shared" si="11"/>
        <v>0</v>
      </c>
      <c r="AW20" s="399">
        <f t="shared" si="11"/>
        <v>0</v>
      </c>
    </row>
    <row r="21" spans="2:49" ht="15">
      <c r="B21" s="396" t="s">
        <v>520</v>
      </c>
      <c r="C21" s="396"/>
      <c r="D21" s="396"/>
      <c r="E21" s="397"/>
      <c r="F21" s="10"/>
      <c r="G21" s="413"/>
      <c r="H21" s="413"/>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row>
    <row r="22" spans="2:49" ht="15">
      <c r="B22" s="398" t="s">
        <v>652</v>
      </c>
      <c r="C22" s="398"/>
      <c r="D22" s="398" t="s">
        <v>67</v>
      </c>
      <c r="E22" s="399"/>
      <c r="F22" s="22"/>
      <c r="G22" s="399">
        <f>IF(AND(H22&gt;0,'Social Infrastructure'!$B$85&gt;0),H22/'Social Infrastructure'!$B$85,0)</f>
        <v>0</v>
      </c>
      <c r="H22" s="415">
        <f aca="true" t="shared" si="12" ref="H22:H23">AVERAGE(J22:AW22)</f>
        <v>0</v>
      </c>
      <c r="I22" s="415">
        <f aca="true" t="shared" si="13" ref="I22:I23">SUM(J22:AW22)</f>
        <v>0</v>
      </c>
      <c r="J22" s="415">
        <f>'Green Infrastructure'!M48</f>
        <v>0</v>
      </c>
      <c r="K22" s="415">
        <f>'Green Infrastructure'!N48</f>
        <v>0</v>
      </c>
      <c r="L22" s="415">
        <f>'Green Infrastructure'!O48</f>
        <v>0</v>
      </c>
      <c r="M22" s="415">
        <f>'Green Infrastructure'!P48</f>
        <v>0</v>
      </c>
      <c r="N22" s="415">
        <f>'Green Infrastructure'!Q48</f>
        <v>0</v>
      </c>
      <c r="O22" s="415">
        <f>'Green Infrastructure'!R48</f>
        <v>0</v>
      </c>
      <c r="P22" s="415">
        <f>'Green Infrastructure'!S48</f>
        <v>0</v>
      </c>
      <c r="Q22" s="415">
        <f>'Green Infrastructure'!T48</f>
        <v>0</v>
      </c>
      <c r="R22" s="415">
        <f>'Green Infrastructure'!U48</f>
        <v>0</v>
      </c>
      <c r="S22" s="415">
        <f>'Green Infrastructure'!V48</f>
        <v>0</v>
      </c>
      <c r="T22" s="415">
        <f>'Green Infrastructure'!W48</f>
        <v>0</v>
      </c>
      <c r="U22" s="415">
        <f>'Green Infrastructure'!X48</f>
        <v>0</v>
      </c>
      <c r="V22" s="415">
        <f>'Green Infrastructure'!Y48</f>
        <v>0</v>
      </c>
      <c r="W22" s="415">
        <f>'Green Infrastructure'!Z48</f>
        <v>0</v>
      </c>
      <c r="X22" s="415">
        <f>'Green Infrastructure'!AA48</f>
        <v>0</v>
      </c>
      <c r="Y22" s="415">
        <f>'Green Infrastructure'!AB48</f>
        <v>0</v>
      </c>
      <c r="Z22" s="415">
        <f>'Green Infrastructure'!AC48</f>
        <v>0</v>
      </c>
      <c r="AA22" s="415">
        <f>'Green Infrastructure'!AD48</f>
        <v>0</v>
      </c>
      <c r="AB22" s="415">
        <f>'Green Infrastructure'!AE48</f>
        <v>0</v>
      </c>
      <c r="AC22" s="415">
        <f>'Green Infrastructure'!AF48</f>
        <v>0</v>
      </c>
      <c r="AD22" s="415">
        <f>'Green Infrastructure'!AG48</f>
        <v>0</v>
      </c>
      <c r="AE22" s="415">
        <f>'Green Infrastructure'!AH48</f>
        <v>0</v>
      </c>
      <c r="AF22" s="415">
        <f>'Green Infrastructure'!AI48</f>
        <v>0</v>
      </c>
      <c r="AG22" s="415">
        <f>'Green Infrastructure'!AJ48</f>
        <v>0</v>
      </c>
      <c r="AH22" s="415">
        <f>'Green Infrastructure'!AK48</f>
        <v>0</v>
      </c>
      <c r="AI22" s="415">
        <f>'Green Infrastructure'!AL48</f>
        <v>0</v>
      </c>
      <c r="AJ22" s="415">
        <f>'Green Infrastructure'!AM48</f>
        <v>0</v>
      </c>
      <c r="AK22" s="415">
        <f>'Green Infrastructure'!AN48</f>
        <v>0</v>
      </c>
      <c r="AL22" s="415">
        <f>'Green Infrastructure'!AO48</f>
        <v>0</v>
      </c>
      <c r="AM22" s="415">
        <f>'Green Infrastructure'!AP48</f>
        <v>0</v>
      </c>
      <c r="AN22" s="415">
        <f>'Green Infrastructure'!AQ48</f>
        <v>0</v>
      </c>
      <c r="AO22" s="415">
        <f>'Green Infrastructure'!AR48</f>
        <v>0</v>
      </c>
      <c r="AP22" s="415">
        <f>'Green Infrastructure'!AS48</f>
        <v>0</v>
      </c>
      <c r="AQ22" s="415">
        <f>'Green Infrastructure'!AT48</f>
        <v>0</v>
      </c>
      <c r="AR22" s="415">
        <f>'Green Infrastructure'!AU48</f>
        <v>0</v>
      </c>
      <c r="AS22" s="415">
        <f>'Green Infrastructure'!AV48</f>
        <v>0</v>
      </c>
      <c r="AT22" s="415">
        <f>'Green Infrastructure'!AW48</f>
        <v>0</v>
      </c>
      <c r="AU22" s="415">
        <f>'Green Infrastructure'!AX48</f>
        <v>0</v>
      </c>
      <c r="AV22" s="415">
        <f>'Green Infrastructure'!AY48</f>
        <v>0</v>
      </c>
      <c r="AW22" s="415">
        <f>'Green Infrastructure'!AZ48</f>
        <v>0</v>
      </c>
    </row>
    <row r="23" spans="2:49" ht="15">
      <c r="B23" s="398" t="s">
        <v>670</v>
      </c>
      <c r="C23" s="398"/>
      <c r="D23" s="398" t="s">
        <v>67</v>
      </c>
      <c r="E23" s="399"/>
      <c r="F23" s="22"/>
      <c r="G23" s="399">
        <f>IF(AND(H23&gt;0,'Social Infrastructure'!$B$85&gt;0),H23/'Social Infrastructure'!$B$85,0)</f>
        <v>0</v>
      </c>
      <c r="H23" s="415">
        <f t="shared" si="12"/>
        <v>0</v>
      </c>
      <c r="I23" s="415">
        <f t="shared" si="13"/>
        <v>0</v>
      </c>
      <c r="J23" s="415">
        <f>'Green Infrastructure'!M49</f>
        <v>0</v>
      </c>
      <c r="K23" s="415">
        <f>'Green Infrastructure'!N49</f>
        <v>0</v>
      </c>
      <c r="L23" s="415">
        <f>'Green Infrastructure'!O49</f>
        <v>0</v>
      </c>
      <c r="M23" s="415">
        <f>'Green Infrastructure'!P49</f>
        <v>0</v>
      </c>
      <c r="N23" s="415">
        <f>'Green Infrastructure'!Q49</f>
        <v>0</v>
      </c>
      <c r="O23" s="415">
        <f>'Green Infrastructure'!R49</f>
        <v>0</v>
      </c>
      <c r="P23" s="415">
        <f>'Green Infrastructure'!S49</f>
        <v>0</v>
      </c>
      <c r="Q23" s="415">
        <f>'Green Infrastructure'!T49</f>
        <v>0</v>
      </c>
      <c r="R23" s="415">
        <f>'Green Infrastructure'!U49</f>
        <v>0</v>
      </c>
      <c r="S23" s="415">
        <f>'Green Infrastructure'!V49</f>
        <v>0</v>
      </c>
      <c r="T23" s="415">
        <f>'Green Infrastructure'!W49</f>
        <v>0</v>
      </c>
      <c r="U23" s="415">
        <f>'Green Infrastructure'!X49</f>
        <v>0</v>
      </c>
      <c r="V23" s="415">
        <f>'Green Infrastructure'!Y49</f>
        <v>0</v>
      </c>
      <c r="W23" s="415">
        <f>'Green Infrastructure'!Z49</f>
        <v>0</v>
      </c>
      <c r="X23" s="415">
        <f>'Green Infrastructure'!AA49</f>
        <v>0</v>
      </c>
      <c r="Y23" s="415">
        <f>'Green Infrastructure'!AB49</f>
        <v>0</v>
      </c>
      <c r="Z23" s="415">
        <f>'Green Infrastructure'!AC49</f>
        <v>0</v>
      </c>
      <c r="AA23" s="415">
        <f>'Green Infrastructure'!AD49</f>
        <v>0</v>
      </c>
      <c r="AB23" s="415">
        <f>'Green Infrastructure'!AE49</f>
        <v>0</v>
      </c>
      <c r="AC23" s="415">
        <f>'Green Infrastructure'!AF49</f>
        <v>0</v>
      </c>
      <c r="AD23" s="415">
        <f>'Green Infrastructure'!AG49</f>
        <v>0</v>
      </c>
      <c r="AE23" s="415">
        <f>'Green Infrastructure'!AH49</f>
        <v>0</v>
      </c>
      <c r="AF23" s="415">
        <f>'Green Infrastructure'!AI49</f>
        <v>0</v>
      </c>
      <c r="AG23" s="415">
        <f>'Green Infrastructure'!AJ49</f>
        <v>0</v>
      </c>
      <c r="AH23" s="415">
        <f>'Green Infrastructure'!AK49</f>
        <v>0</v>
      </c>
      <c r="AI23" s="415">
        <f>'Green Infrastructure'!AL49</f>
        <v>0</v>
      </c>
      <c r="AJ23" s="415">
        <f>'Green Infrastructure'!AM49</f>
        <v>0</v>
      </c>
      <c r="AK23" s="415">
        <f>'Green Infrastructure'!AN49</f>
        <v>0</v>
      </c>
      <c r="AL23" s="415">
        <f>'Green Infrastructure'!AO49</f>
        <v>0</v>
      </c>
      <c r="AM23" s="415">
        <f>'Green Infrastructure'!AP49</f>
        <v>0</v>
      </c>
      <c r="AN23" s="415">
        <f>'Green Infrastructure'!AQ49</f>
        <v>0</v>
      </c>
      <c r="AO23" s="415">
        <f>'Green Infrastructure'!AR49</f>
        <v>0</v>
      </c>
      <c r="AP23" s="415">
        <f>'Green Infrastructure'!AS49</f>
        <v>0</v>
      </c>
      <c r="AQ23" s="415">
        <f>'Green Infrastructure'!AT49</f>
        <v>0</v>
      </c>
      <c r="AR23" s="415">
        <f>'Green Infrastructure'!AU49</f>
        <v>0</v>
      </c>
      <c r="AS23" s="415">
        <f>'Green Infrastructure'!AV49</f>
        <v>0</v>
      </c>
      <c r="AT23" s="415">
        <f>'Green Infrastructure'!AW49</f>
        <v>0</v>
      </c>
      <c r="AU23" s="415">
        <f>'Green Infrastructure'!AX49</f>
        <v>0</v>
      </c>
      <c r="AV23" s="415">
        <f>'Green Infrastructure'!AY49</f>
        <v>0</v>
      </c>
      <c r="AW23" s="415">
        <f>'Green Infrastructure'!AZ49</f>
        <v>0</v>
      </c>
    </row>
    <row r="24" spans="2:49" ht="15">
      <c r="B24" s="410" t="s">
        <v>688</v>
      </c>
      <c r="C24" s="410"/>
      <c r="D24" s="410" t="s">
        <v>67</v>
      </c>
      <c r="E24" s="410"/>
      <c r="F24" s="22"/>
      <c r="G24" s="399">
        <f>IF(AND(H24&gt;0,'Social Infrastructure'!$B$85&gt;0),H24/'Social Infrastructure'!$B$85,0)</f>
        <v>0</v>
      </c>
      <c r="H24" s="399">
        <f aca="true" t="shared" si="14" ref="H24">AVERAGE(J24:AW24)</f>
        <v>0</v>
      </c>
      <c r="I24" s="399">
        <f aca="true" t="shared" si="15" ref="I24">SUM(J24:AW24)</f>
        <v>0</v>
      </c>
      <c r="J24" s="399">
        <f>J22+J23</f>
        <v>0</v>
      </c>
      <c r="K24" s="399">
        <f aca="true" t="shared" si="16" ref="K24:AW24">K22+K23</f>
        <v>0</v>
      </c>
      <c r="L24" s="399">
        <f t="shared" si="16"/>
        <v>0</v>
      </c>
      <c r="M24" s="399">
        <f t="shared" si="16"/>
        <v>0</v>
      </c>
      <c r="N24" s="399">
        <f t="shared" si="16"/>
        <v>0</v>
      </c>
      <c r="O24" s="399">
        <f t="shared" si="16"/>
        <v>0</v>
      </c>
      <c r="P24" s="399">
        <f t="shared" si="16"/>
        <v>0</v>
      </c>
      <c r="Q24" s="399">
        <f t="shared" si="16"/>
        <v>0</v>
      </c>
      <c r="R24" s="399">
        <f t="shared" si="16"/>
        <v>0</v>
      </c>
      <c r="S24" s="399">
        <f t="shared" si="16"/>
        <v>0</v>
      </c>
      <c r="T24" s="399">
        <f t="shared" si="16"/>
        <v>0</v>
      </c>
      <c r="U24" s="399">
        <f t="shared" si="16"/>
        <v>0</v>
      </c>
      <c r="V24" s="399">
        <f t="shared" si="16"/>
        <v>0</v>
      </c>
      <c r="W24" s="399">
        <f t="shared" si="16"/>
        <v>0</v>
      </c>
      <c r="X24" s="399">
        <f t="shared" si="16"/>
        <v>0</v>
      </c>
      <c r="Y24" s="399">
        <f t="shared" si="16"/>
        <v>0</v>
      </c>
      <c r="Z24" s="399">
        <f t="shared" si="16"/>
        <v>0</v>
      </c>
      <c r="AA24" s="399">
        <f t="shared" si="16"/>
        <v>0</v>
      </c>
      <c r="AB24" s="399">
        <f t="shared" si="16"/>
        <v>0</v>
      </c>
      <c r="AC24" s="399">
        <f t="shared" si="16"/>
        <v>0</v>
      </c>
      <c r="AD24" s="399">
        <f t="shared" si="16"/>
        <v>0</v>
      </c>
      <c r="AE24" s="399">
        <f t="shared" si="16"/>
        <v>0</v>
      </c>
      <c r="AF24" s="399">
        <f t="shared" si="16"/>
        <v>0</v>
      </c>
      <c r="AG24" s="399">
        <f t="shared" si="16"/>
        <v>0</v>
      </c>
      <c r="AH24" s="399">
        <f t="shared" si="16"/>
        <v>0</v>
      </c>
      <c r="AI24" s="399">
        <f t="shared" si="16"/>
        <v>0</v>
      </c>
      <c r="AJ24" s="399">
        <f t="shared" si="16"/>
        <v>0</v>
      </c>
      <c r="AK24" s="399">
        <f t="shared" si="16"/>
        <v>0</v>
      </c>
      <c r="AL24" s="399">
        <f t="shared" si="16"/>
        <v>0</v>
      </c>
      <c r="AM24" s="399">
        <f t="shared" si="16"/>
        <v>0</v>
      </c>
      <c r="AN24" s="399">
        <f t="shared" si="16"/>
        <v>0</v>
      </c>
      <c r="AO24" s="399">
        <f t="shared" si="16"/>
        <v>0</v>
      </c>
      <c r="AP24" s="399">
        <f t="shared" si="16"/>
        <v>0</v>
      </c>
      <c r="AQ24" s="399">
        <f t="shared" si="16"/>
        <v>0</v>
      </c>
      <c r="AR24" s="399">
        <f t="shared" si="16"/>
        <v>0</v>
      </c>
      <c r="AS24" s="399">
        <f t="shared" si="16"/>
        <v>0</v>
      </c>
      <c r="AT24" s="399">
        <f t="shared" si="16"/>
        <v>0</v>
      </c>
      <c r="AU24" s="399">
        <f t="shared" si="16"/>
        <v>0</v>
      </c>
      <c r="AV24" s="399">
        <f t="shared" si="16"/>
        <v>0</v>
      </c>
      <c r="AW24" s="399">
        <f t="shared" si="16"/>
        <v>0</v>
      </c>
    </row>
    <row r="25" spans="2:49" ht="15">
      <c r="B25" s="396" t="s">
        <v>623</v>
      </c>
      <c r="C25" s="396"/>
      <c r="D25" s="396"/>
      <c r="E25" s="396"/>
      <c r="F25" s="10"/>
      <c r="G25" s="413">
        <f>IF(AND(H25&gt;0,'Social Infrastructure'!$B$85&gt;0),H25/'Social Infrastructure'!$B$85,0)</f>
        <v>0</v>
      </c>
      <c r="H25" s="413">
        <f>AVERAGE(J25:AW25)</f>
        <v>0</v>
      </c>
      <c r="I25" s="414">
        <f>SUM(J25:AW25)</f>
        <v>0</v>
      </c>
      <c r="J25" s="414">
        <f>J20+J24</f>
        <v>0</v>
      </c>
      <c r="K25" s="414">
        <f aca="true" t="shared" si="17" ref="K25:AW25">K20+K24</f>
        <v>0</v>
      </c>
      <c r="L25" s="414">
        <f t="shared" si="17"/>
        <v>0</v>
      </c>
      <c r="M25" s="414">
        <f t="shared" si="17"/>
        <v>0</v>
      </c>
      <c r="N25" s="414">
        <f t="shared" si="17"/>
        <v>0</v>
      </c>
      <c r="O25" s="414">
        <f t="shared" si="17"/>
        <v>0</v>
      </c>
      <c r="P25" s="414">
        <f t="shared" si="17"/>
        <v>0</v>
      </c>
      <c r="Q25" s="414">
        <f t="shared" si="17"/>
        <v>0</v>
      </c>
      <c r="R25" s="414">
        <f t="shared" si="17"/>
        <v>0</v>
      </c>
      <c r="S25" s="414">
        <f t="shared" si="17"/>
        <v>0</v>
      </c>
      <c r="T25" s="414">
        <f t="shared" si="17"/>
        <v>0</v>
      </c>
      <c r="U25" s="414">
        <f t="shared" si="17"/>
        <v>0</v>
      </c>
      <c r="V25" s="414">
        <f t="shared" si="17"/>
        <v>0</v>
      </c>
      <c r="W25" s="414">
        <f t="shared" si="17"/>
        <v>0</v>
      </c>
      <c r="X25" s="414">
        <f t="shared" si="17"/>
        <v>0</v>
      </c>
      <c r="Y25" s="414">
        <f t="shared" si="17"/>
        <v>0</v>
      </c>
      <c r="Z25" s="414">
        <f t="shared" si="17"/>
        <v>0</v>
      </c>
      <c r="AA25" s="414">
        <f t="shared" si="17"/>
        <v>0</v>
      </c>
      <c r="AB25" s="414">
        <f t="shared" si="17"/>
        <v>0</v>
      </c>
      <c r="AC25" s="414">
        <f t="shared" si="17"/>
        <v>0</v>
      </c>
      <c r="AD25" s="414">
        <f t="shared" si="17"/>
        <v>0</v>
      </c>
      <c r="AE25" s="414">
        <f t="shared" si="17"/>
        <v>0</v>
      </c>
      <c r="AF25" s="414">
        <f t="shared" si="17"/>
        <v>0</v>
      </c>
      <c r="AG25" s="414">
        <f t="shared" si="17"/>
        <v>0</v>
      </c>
      <c r="AH25" s="414">
        <f t="shared" si="17"/>
        <v>0</v>
      </c>
      <c r="AI25" s="414">
        <f t="shared" si="17"/>
        <v>0</v>
      </c>
      <c r="AJ25" s="414">
        <f t="shared" si="17"/>
        <v>0</v>
      </c>
      <c r="AK25" s="414">
        <f t="shared" si="17"/>
        <v>0</v>
      </c>
      <c r="AL25" s="414">
        <f t="shared" si="17"/>
        <v>0</v>
      </c>
      <c r="AM25" s="414">
        <f t="shared" si="17"/>
        <v>0</v>
      </c>
      <c r="AN25" s="414">
        <f t="shared" si="17"/>
        <v>0</v>
      </c>
      <c r="AO25" s="414">
        <f t="shared" si="17"/>
        <v>0</v>
      </c>
      <c r="AP25" s="414">
        <f t="shared" si="17"/>
        <v>0</v>
      </c>
      <c r="AQ25" s="414">
        <f t="shared" si="17"/>
        <v>0</v>
      </c>
      <c r="AR25" s="414">
        <f t="shared" si="17"/>
        <v>0</v>
      </c>
      <c r="AS25" s="414">
        <f t="shared" si="17"/>
        <v>0</v>
      </c>
      <c r="AT25" s="414">
        <f t="shared" si="17"/>
        <v>0</v>
      </c>
      <c r="AU25" s="414">
        <f t="shared" si="17"/>
        <v>0</v>
      </c>
      <c r="AV25" s="414">
        <f t="shared" si="17"/>
        <v>0</v>
      </c>
      <c r="AW25" s="414">
        <f t="shared" si="17"/>
        <v>0</v>
      </c>
    </row>
    <row r="26" spans="2:49" ht="15">
      <c r="B26" s="398" t="s">
        <v>658</v>
      </c>
      <c r="C26" s="411"/>
      <c r="D26" s="398" t="s">
        <v>67</v>
      </c>
      <c r="E26" s="411"/>
      <c r="F26" s="10"/>
      <c r="G26" s="415">
        <f>IF(AND(H26&gt;0,'Social Infrastructure'!$B$85&gt;0),H26/'Social Infrastructure'!$B$85,0)</f>
        <v>0</v>
      </c>
      <c r="H26" s="415">
        <f aca="true" t="shared" si="18" ref="H26:H33">I26/40</f>
        <v>0</v>
      </c>
      <c r="I26" s="415">
        <f>NPV('Social Infrastructure'!$C$79,J15:AW15)</f>
        <v>0</v>
      </c>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row>
    <row r="27" spans="2:49" ht="15">
      <c r="B27" s="398" t="s">
        <v>653</v>
      </c>
      <c r="C27" s="398"/>
      <c r="D27" s="398" t="s">
        <v>67</v>
      </c>
      <c r="E27" s="399"/>
      <c r="G27" s="415">
        <f>IF(AND(H27&gt;0,'Social Infrastructure'!$B$85&gt;0),H27/'Social Infrastructure'!$B$85,0)</f>
        <v>0</v>
      </c>
      <c r="H27" s="415">
        <f t="shared" si="18"/>
        <v>0</v>
      </c>
      <c r="I27" s="415">
        <f>NPV('Social Infrastructure'!$C$79,J20:AW20)</f>
        <v>0</v>
      </c>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row>
    <row r="28" spans="2:49" ht="15">
      <c r="B28" s="398" t="s">
        <v>614</v>
      </c>
      <c r="C28" s="398"/>
      <c r="D28" s="398" t="s">
        <v>67</v>
      </c>
      <c r="E28" s="399"/>
      <c r="G28" s="415">
        <f>IF(AND(H28&gt;0,'Social Infrastructure'!$B$85&gt;0),H28/'Social Infrastructure'!$B$85,0)</f>
        <v>0</v>
      </c>
      <c r="H28" s="415">
        <f t="shared" si="18"/>
        <v>0</v>
      </c>
      <c r="I28" s="415">
        <f>NPV('Social Infrastructure'!$C$79,J22:AW22)</f>
        <v>0</v>
      </c>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row>
    <row r="29" spans="2:49" ht="15">
      <c r="B29" s="398" t="s">
        <v>528</v>
      </c>
      <c r="C29" s="398"/>
      <c r="D29" s="398" t="s">
        <v>67</v>
      </c>
      <c r="E29" s="399"/>
      <c r="G29" s="415">
        <f>IF(AND(H29&gt;0,'Social Infrastructure'!$B$85&gt;0),H29/'Social Infrastructure'!$B$85,0)</f>
        <v>0</v>
      </c>
      <c r="H29" s="415">
        <f t="shared" si="18"/>
        <v>0</v>
      </c>
      <c r="I29" s="415">
        <f>NPV('Social Infrastructure'!$C$79,J23:AW23)</f>
        <v>0</v>
      </c>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row>
    <row r="30" spans="2:49" s="10" customFormat="1" ht="15">
      <c r="B30" s="396" t="s">
        <v>671</v>
      </c>
      <c r="C30" s="396"/>
      <c r="D30" s="396"/>
      <c r="E30" s="397"/>
      <c r="G30" s="414">
        <f>IF(AND(H30&gt;0,'Social Infrastructure'!$B$85&gt;0),H30/'Social Infrastructure'!$B$85,0)</f>
        <v>0</v>
      </c>
      <c r="H30" s="414">
        <f t="shared" si="18"/>
        <v>0</v>
      </c>
      <c r="I30" s="414">
        <f>NPV('Social Infrastructure'!$C$79,J25:AW25)</f>
        <v>0</v>
      </c>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row>
    <row r="31" spans="2:49" ht="6.75" customHeight="1">
      <c r="B31" s="401"/>
      <c r="C31" s="401"/>
      <c r="D31" s="401"/>
      <c r="E31" s="412"/>
      <c r="G31" s="419"/>
      <c r="H31" s="420"/>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row>
    <row r="32" spans="2:49" s="10" customFormat="1" ht="15">
      <c r="B32" s="396" t="s">
        <v>690</v>
      </c>
      <c r="C32" s="396"/>
      <c r="D32" s="396"/>
      <c r="E32" s="396"/>
      <c r="G32" s="414">
        <f>IF(AND(H32&gt;0,'Social Infrastructure'!$B$85&gt;0),H32/'Social Infrastructure'!$B$85,0)</f>
        <v>0</v>
      </c>
      <c r="H32" s="414">
        <f>AVERAGE(J32:AW32)</f>
        <v>0</v>
      </c>
      <c r="I32" s="414">
        <f>SUM(J32:AW32)</f>
        <v>0</v>
      </c>
      <c r="J32" s="414">
        <f>J6+J25</f>
        <v>0</v>
      </c>
      <c r="K32" s="414">
        <f aca="true" t="shared" si="19" ref="K32:AW32">K6+K25</f>
        <v>0</v>
      </c>
      <c r="L32" s="414">
        <f t="shared" si="19"/>
        <v>0</v>
      </c>
      <c r="M32" s="414">
        <f t="shared" si="19"/>
        <v>0</v>
      </c>
      <c r="N32" s="414">
        <f t="shared" si="19"/>
        <v>0</v>
      </c>
      <c r="O32" s="414">
        <f t="shared" si="19"/>
        <v>0</v>
      </c>
      <c r="P32" s="414">
        <f t="shared" si="19"/>
        <v>0</v>
      </c>
      <c r="Q32" s="414">
        <f t="shared" si="19"/>
        <v>0</v>
      </c>
      <c r="R32" s="414">
        <f t="shared" si="19"/>
        <v>0</v>
      </c>
      <c r="S32" s="414">
        <f t="shared" si="19"/>
        <v>0</v>
      </c>
      <c r="T32" s="414">
        <f t="shared" si="19"/>
        <v>0</v>
      </c>
      <c r="U32" s="414">
        <f t="shared" si="19"/>
        <v>0</v>
      </c>
      <c r="V32" s="414">
        <f t="shared" si="19"/>
        <v>0</v>
      </c>
      <c r="W32" s="414">
        <f t="shared" si="19"/>
        <v>0</v>
      </c>
      <c r="X32" s="414">
        <f t="shared" si="19"/>
        <v>0</v>
      </c>
      <c r="Y32" s="414">
        <f t="shared" si="19"/>
        <v>0</v>
      </c>
      <c r="Z32" s="414">
        <f t="shared" si="19"/>
        <v>0</v>
      </c>
      <c r="AA32" s="414">
        <f t="shared" si="19"/>
        <v>0</v>
      </c>
      <c r="AB32" s="414">
        <f t="shared" si="19"/>
        <v>0</v>
      </c>
      <c r="AC32" s="414">
        <f t="shared" si="19"/>
        <v>0</v>
      </c>
      <c r="AD32" s="414">
        <f t="shared" si="19"/>
        <v>0</v>
      </c>
      <c r="AE32" s="414">
        <f t="shared" si="19"/>
        <v>0</v>
      </c>
      <c r="AF32" s="414">
        <f t="shared" si="19"/>
        <v>0</v>
      </c>
      <c r="AG32" s="414">
        <f t="shared" si="19"/>
        <v>0</v>
      </c>
      <c r="AH32" s="414">
        <f t="shared" si="19"/>
        <v>0</v>
      </c>
      <c r="AI32" s="414">
        <f t="shared" si="19"/>
        <v>0</v>
      </c>
      <c r="AJ32" s="414">
        <f t="shared" si="19"/>
        <v>0</v>
      </c>
      <c r="AK32" s="414">
        <f t="shared" si="19"/>
        <v>0</v>
      </c>
      <c r="AL32" s="414">
        <f t="shared" si="19"/>
        <v>0</v>
      </c>
      <c r="AM32" s="414">
        <f t="shared" si="19"/>
        <v>0</v>
      </c>
      <c r="AN32" s="414">
        <f t="shared" si="19"/>
        <v>0</v>
      </c>
      <c r="AO32" s="414">
        <f t="shared" si="19"/>
        <v>0</v>
      </c>
      <c r="AP32" s="414">
        <f t="shared" si="19"/>
        <v>0</v>
      </c>
      <c r="AQ32" s="414">
        <f t="shared" si="19"/>
        <v>0</v>
      </c>
      <c r="AR32" s="414">
        <f t="shared" si="19"/>
        <v>0</v>
      </c>
      <c r="AS32" s="414">
        <f t="shared" si="19"/>
        <v>0</v>
      </c>
      <c r="AT32" s="414">
        <f t="shared" si="19"/>
        <v>0</v>
      </c>
      <c r="AU32" s="414">
        <f t="shared" si="19"/>
        <v>0</v>
      </c>
      <c r="AV32" s="414">
        <f t="shared" si="19"/>
        <v>0</v>
      </c>
      <c r="AW32" s="414">
        <f t="shared" si="19"/>
        <v>0</v>
      </c>
    </row>
    <row r="33" spans="2:49" s="10" customFormat="1" ht="15">
      <c r="B33" s="396" t="s">
        <v>691</v>
      </c>
      <c r="C33" s="396"/>
      <c r="D33" s="396"/>
      <c r="E33" s="396"/>
      <c r="G33" s="414">
        <f>IF(AND(H33&gt;0,'Social Infrastructure'!$B$85&gt;0),H33/'Social Infrastructure'!$B$85,0)</f>
        <v>0</v>
      </c>
      <c r="H33" s="421">
        <f t="shared" si="18"/>
        <v>0</v>
      </c>
      <c r="I33" s="414">
        <f>NPV('Social Infrastructure'!$C$79,J32:AW32)</f>
        <v>0</v>
      </c>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row>
    <row r="34" spans="2:49" ht="6.75" customHeight="1">
      <c r="B34" s="401"/>
      <c r="C34" s="401"/>
      <c r="D34" s="401"/>
      <c r="E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row>
    <row r="35" spans="2:49" ht="15">
      <c r="B35" s="406" t="s">
        <v>622</v>
      </c>
      <c r="C35" s="406"/>
      <c r="D35" s="406"/>
      <c r="E35" s="407"/>
      <c r="F35" s="10"/>
      <c r="G35" s="416"/>
      <c r="H35" s="416"/>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row>
    <row r="36" spans="2:49" ht="15">
      <c r="B36" s="408" t="s">
        <v>519</v>
      </c>
      <c r="C36" s="408"/>
      <c r="D36" s="408" t="s">
        <v>71</v>
      </c>
      <c r="E36" s="409"/>
      <c r="G36" s="418">
        <f>IF(AND(H36&gt;0,'Social Infrastructure'!$B$85&gt;0),H36/'Social Infrastructure'!$B$85,0)</f>
        <v>0</v>
      </c>
      <c r="H36" s="418">
        <f aca="true" t="shared" si="20" ref="H36">AVERAGE(J36:AW36)</f>
        <v>0</v>
      </c>
      <c r="I36" s="418">
        <f aca="true" t="shared" si="21" ref="I36">SUM(J36:AW36)</f>
        <v>0</v>
      </c>
      <c r="J36" s="418">
        <f>'Green Infrastructure'!M47+'Energy and carbon'!M63</f>
        <v>0</v>
      </c>
      <c r="K36" s="418">
        <f>'Green Infrastructure'!N47+'Energy and carbon'!N63</f>
        <v>0</v>
      </c>
      <c r="L36" s="418">
        <f>'Green Infrastructure'!O47+'Energy and carbon'!O63</f>
        <v>0</v>
      </c>
      <c r="M36" s="418">
        <f>'Green Infrastructure'!P47+'Energy and carbon'!P63</f>
        <v>0</v>
      </c>
      <c r="N36" s="418">
        <f>'Green Infrastructure'!Q47+'Energy and carbon'!Q63</f>
        <v>0</v>
      </c>
      <c r="O36" s="418">
        <f>'Green Infrastructure'!R47+'Energy and carbon'!R63</f>
        <v>0</v>
      </c>
      <c r="P36" s="418">
        <f>'Green Infrastructure'!S47+'Energy and carbon'!S63</f>
        <v>0</v>
      </c>
      <c r="Q36" s="418">
        <f>'Green Infrastructure'!T47+'Energy and carbon'!T63</f>
        <v>0</v>
      </c>
      <c r="R36" s="418">
        <f>'Green Infrastructure'!U47+'Energy and carbon'!U63</f>
        <v>0</v>
      </c>
      <c r="S36" s="418">
        <f>'Green Infrastructure'!V47+'Energy and carbon'!V63</f>
        <v>0</v>
      </c>
      <c r="T36" s="418">
        <f>'Green Infrastructure'!W47+'Energy and carbon'!W63</f>
        <v>0</v>
      </c>
      <c r="U36" s="418">
        <f>'Green Infrastructure'!X47+'Energy and carbon'!X63</f>
        <v>0</v>
      </c>
      <c r="V36" s="418">
        <f>'Green Infrastructure'!Y47+'Energy and carbon'!Y63</f>
        <v>0</v>
      </c>
      <c r="W36" s="418">
        <f>'Green Infrastructure'!Z47+'Energy and carbon'!Z63</f>
        <v>0</v>
      </c>
      <c r="X36" s="418">
        <f>'Green Infrastructure'!AA47+'Energy and carbon'!AA63</f>
        <v>0</v>
      </c>
      <c r="Y36" s="418">
        <f>'Green Infrastructure'!AB47+'Energy and carbon'!AB63</f>
        <v>0</v>
      </c>
      <c r="Z36" s="418">
        <f>'Green Infrastructure'!AC47+'Energy and carbon'!AC63</f>
        <v>0</v>
      </c>
      <c r="AA36" s="418">
        <f>'Green Infrastructure'!AD47+'Energy and carbon'!AD63</f>
        <v>0</v>
      </c>
      <c r="AB36" s="418">
        <f>'Green Infrastructure'!AE47+'Energy and carbon'!AE63</f>
        <v>0</v>
      </c>
      <c r="AC36" s="418">
        <f>'Green Infrastructure'!AF47+'Energy and carbon'!AF63</f>
        <v>0</v>
      </c>
      <c r="AD36" s="418">
        <f>'Green Infrastructure'!AG47+'Energy and carbon'!AG63</f>
        <v>0</v>
      </c>
      <c r="AE36" s="418">
        <f>'Green Infrastructure'!AH47+'Energy and carbon'!AH63</f>
        <v>0</v>
      </c>
      <c r="AF36" s="418">
        <f>'Green Infrastructure'!AI47+'Energy and carbon'!AI63</f>
        <v>0</v>
      </c>
      <c r="AG36" s="418">
        <f>'Green Infrastructure'!AJ47+'Energy and carbon'!AJ63</f>
        <v>0</v>
      </c>
      <c r="AH36" s="418">
        <f>'Green Infrastructure'!AK47+'Energy and carbon'!AK63</f>
        <v>0</v>
      </c>
      <c r="AI36" s="418">
        <f>'Green Infrastructure'!AL47+'Energy and carbon'!AL63</f>
        <v>0</v>
      </c>
      <c r="AJ36" s="418">
        <f>'Green Infrastructure'!AM47+'Energy and carbon'!AM63</f>
        <v>0</v>
      </c>
      <c r="AK36" s="418">
        <f>'Green Infrastructure'!AN47+'Energy and carbon'!AN63</f>
        <v>0</v>
      </c>
      <c r="AL36" s="418">
        <f>'Green Infrastructure'!AO47+'Energy and carbon'!AO63</f>
        <v>0</v>
      </c>
      <c r="AM36" s="418">
        <f>'Green Infrastructure'!AP47+'Energy and carbon'!AP63</f>
        <v>0</v>
      </c>
      <c r="AN36" s="418">
        <f>'Green Infrastructure'!AQ47+'Energy and carbon'!AQ63</f>
        <v>0</v>
      </c>
      <c r="AO36" s="418">
        <f>'Green Infrastructure'!AR47+'Energy and carbon'!AR63</f>
        <v>0</v>
      </c>
      <c r="AP36" s="418">
        <f>'Green Infrastructure'!AS47+'Energy and carbon'!AS63</f>
        <v>0</v>
      </c>
      <c r="AQ36" s="418">
        <f>'Green Infrastructure'!AT47+'Energy and carbon'!AT63</f>
        <v>0</v>
      </c>
      <c r="AR36" s="418">
        <f>'Green Infrastructure'!AU47+'Energy and carbon'!AU63</f>
        <v>0</v>
      </c>
      <c r="AS36" s="418">
        <f>'Green Infrastructure'!AV47+'Energy and carbon'!AV63</f>
        <v>0</v>
      </c>
      <c r="AT36" s="418">
        <f>'Green Infrastructure'!AW47+'Energy and carbon'!AW63</f>
        <v>0</v>
      </c>
      <c r="AU36" s="418">
        <f>'Green Infrastructure'!AX47+'Energy and carbon'!AX63</f>
        <v>0</v>
      </c>
      <c r="AV36" s="418">
        <f>'Green Infrastructure'!AY47+'Energy and carbon'!AY63</f>
        <v>0</v>
      </c>
      <c r="AW36" s="418">
        <f>'Green Infrastructure'!AZ47+'Energy and carbon'!AZ63</f>
        <v>0</v>
      </c>
    </row>
    <row r="37" spans="2:49" ht="15">
      <c r="B37" s="408" t="s">
        <v>526</v>
      </c>
      <c r="C37" s="408"/>
      <c r="D37" s="408" t="s">
        <v>71</v>
      </c>
      <c r="E37" s="409"/>
      <c r="G37" s="418">
        <f>IF(AND(H37&gt;0,'Social Infrastructure'!$B$85&gt;0),H37/'Social Infrastructure'!$B$85,0)</f>
        <v>0</v>
      </c>
      <c r="H37" s="418">
        <f aca="true" t="shared" si="22" ref="H37:H38">AVERAGE(J37:AW37)</f>
        <v>0</v>
      </c>
      <c r="I37" s="418">
        <f aca="true" t="shared" si="23" ref="I37:I38">SUM(J37:AW37)</f>
        <v>0</v>
      </c>
      <c r="J37" s="418">
        <f>'Social Infrastructure'!$X$98</f>
        <v>0</v>
      </c>
      <c r="K37" s="418">
        <f>J37*(1+'Green+Social Interface'!$I$35)</f>
        <v>0</v>
      </c>
      <c r="L37" s="418">
        <f>K37*(1+'Green+Social Interface'!$I$35)</f>
        <v>0</v>
      </c>
      <c r="M37" s="418">
        <f>L37*(1+'Green+Social Interface'!$I$35)</f>
        <v>0</v>
      </c>
      <c r="N37" s="418">
        <f>M37*(1+'Green+Social Interface'!$I$35)</f>
        <v>0</v>
      </c>
      <c r="O37" s="418">
        <f>N37*(1+'Green+Social Interface'!$I$35)</f>
        <v>0</v>
      </c>
      <c r="P37" s="418">
        <f>O37*(1+'Green+Social Interface'!$I$35)</f>
        <v>0</v>
      </c>
      <c r="Q37" s="418">
        <f>P37*(1+'Green+Social Interface'!$I$35)</f>
        <v>0</v>
      </c>
      <c r="R37" s="418">
        <f>Q37*(1+'Green+Social Interface'!$I$35)</f>
        <v>0</v>
      </c>
      <c r="S37" s="418">
        <f>R37*(1+'Green+Social Interface'!$I$35)</f>
        <v>0</v>
      </c>
      <c r="T37" s="418">
        <f>S37*(1+'Green+Social Interface'!$I$35)</f>
        <v>0</v>
      </c>
      <c r="U37" s="418">
        <f>T37*(1+'Green+Social Interface'!$I$35)</f>
        <v>0</v>
      </c>
      <c r="V37" s="418">
        <f>U37*(1+'Green+Social Interface'!$I$35)</f>
        <v>0</v>
      </c>
      <c r="W37" s="418">
        <f>V37*(1+'Green+Social Interface'!$I$35)</f>
        <v>0</v>
      </c>
      <c r="X37" s="418">
        <f>W37*(1+'Green+Social Interface'!$I$35)</f>
        <v>0</v>
      </c>
      <c r="Y37" s="418">
        <f>X37*(1+'Green+Social Interface'!$I$35)</f>
        <v>0</v>
      </c>
      <c r="Z37" s="418">
        <f>Y37*(1+'Green+Social Interface'!$I$35)</f>
        <v>0</v>
      </c>
      <c r="AA37" s="418">
        <f>Z37*(1+'Green+Social Interface'!$I$35)</f>
        <v>0</v>
      </c>
      <c r="AB37" s="418">
        <f>AA37*(1+'Green+Social Interface'!$I$35)</f>
        <v>0</v>
      </c>
      <c r="AC37" s="418">
        <f>AB37*(1+'Green+Social Interface'!$I$35)</f>
        <v>0</v>
      </c>
      <c r="AD37" s="418">
        <f>AC37*(1+'Green+Social Interface'!$I$35)</f>
        <v>0</v>
      </c>
      <c r="AE37" s="418">
        <f>AD37*(1+'Green+Social Interface'!$I$35)</f>
        <v>0</v>
      </c>
      <c r="AF37" s="418">
        <f>AE37*(1+'Green+Social Interface'!$I$35)</f>
        <v>0</v>
      </c>
      <c r="AG37" s="418">
        <f>AF37*(1+'Green+Social Interface'!$I$35)</f>
        <v>0</v>
      </c>
      <c r="AH37" s="418">
        <f>AG37*(1+'Green+Social Interface'!$I$35)</f>
        <v>0</v>
      </c>
      <c r="AI37" s="418">
        <f>AH37*(1+'Green+Social Interface'!$I$35)</f>
        <v>0</v>
      </c>
      <c r="AJ37" s="418">
        <f>AI37*(1+'Green+Social Interface'!$I$35)</f>
        <v>0</v>
      </c>
      <c r="AK37" s="418">
        <f>AJ37*(1+'Green+Social Interface'!$I$35)</f>
        <v>0</v>
      </c>
      <c r="AL37" s="418">
        <f>AK37*(1+'Green+Social Interface'!$I$35)</f>
        <v>0</v>
      </c>
      <c r="AM37" s="418">
        <f>AL37*(1+'Green+Social Interface'!$I$35)</f>
        <v>0</v>
      </c>
      <c r="AN37" s="418">
        <f>AM37*(1+'Green+Social Interface'!$I$35)</f>
        <v>0</v>
      </c>
      <c r="AO37" s="418">
        <f>AN37*(1+'Green+Social Interface'!$I$35)</f>
        <v>0</v>
      </c>
      <c r="AP37" s="418">
        <f>AO37*(1+'Green+Social Interface'!$I$35)</f>
        <v>0</v>
      </c>
      <c r="AQ37" s="418">
        <f>AP37*(1+'Green+Social Interface'!$I$35)</f>
        <v>0</v>
      </c>
      <c r="AR37" s="418">
        <f>AQ37*(1+'Green+Social Interface'!$I$35)</f>
        <v>0</v>
      </c>
      <c r="AS37" s="418">
        <f>AR37*(1+'Green+Social Interface'!$I$35)</f>
        <v>0</v>
      </c>
      <c r="AT37" s="418">
        <f>AS37*(1+'Green+Social Interface'!$I$35)</f>
        <v>0</v>
      </c>
      <c r="AU37" s="418">
        <f>AT37*(1+'Green+Social Interface'!$I$35)</f>
        <v>0</v>
      </c>
      <c r="AV37" s="418">
        <f>AU37*(1+'Green+Social Interface'!$I$35)</f>
        <v>0</v>
      </c>
      <c r="AW37" s="418">
        <f>AV37*(1+'Green+Social Interface'!$I$35)</f>
        <v>0</v>
      </c>
    </row>
    <row r="38" spans="2:49" s="10" customFormat="1" ht="15">
      <c r="B38" s="406" t="s">
        <v>529</v>
      </c>
      <c r="C38" s="406"/>
      <c r="D38" s="406" t="s">
        <v>71</v>
      </c>
      <c r="E38" s="407"/>
      <c r="G38" s="417">
        <f>IF(AND(H38&gt;0,'Social Infrastructure'!$B$85&gt;0),H38/'Social Infrastructure'!$B$85,0)</f>
        <v>0</v>
      </c>
      <c r="H38" s="417">
        <f t="shared" si="22"/>
        <v>0</v>
      </c>
      <c r="I38" s="417">
        <f t="shared" si="23"/>
        <v>0</v>
      </c>
      <c r="J38" s="417">
        <f>J36+J37</f>
        <v>0</v>
      </c>
      <c r="K38" s="417">
        <f aca="true" t="shared" si="24" ref="K38:AW38">K36+K37</f>
        <v>0</v>
      </c>
      <c r="L38" s="417">
        <f t="shared" si="24"/>
        <v>0</v>
      </c>
      <c r="M38" s="417">
        <f t="shared" si="24"/>
        <v>0</v>
      </c>
      <c r="N38" s="417">
        <f t="shared" si="24"/>
        <v>0</v>
      </c>
      <c r="O38" s="417">
        <f t="shared" si="24"/>
        <v>0</v>
      </c>
      <c r="P38" s="417">
        <f t="shared" si="24"/>
        <v>0</v>
      </c>
      <c r="Q38" s="417">
        <f t="shared" si="24"/>
        <v>0</v>
      </c>
      <c r="R38" s="417">
        <f t="shared" si="24"/>
        <v>0</v>
      </c>
      <c r="S38" s="417">
        <f t="shared" si="24"/>
        <v>0</v>
      </c>
      <c r="T38" s="417">
        <f t="shared" si="24"/>
        <v>0</v>
      </c>
      <c r="U38" s="417">
        <f t="shared" si="24"/>
        <v>0</v>
      </c>
      <c r="V38" s="417">
        <f t="shared" si="24"/>
        <v>0</v>
      </c>
      <c r="W38" s="417">
        <f t="shared" si="24"/>
        <v>0</v>
      </c>
      <c r="X38" s="417">
        <f t="shared" si="24"/>
        <v>0</v>
      </c>
      <c r="Y38" s="417">
        <f t="shared" si="24"/>
        <v>0</v>
      </c>
      <c r="Z38" s="417">
        <f t="shared" si="24"/>
        <v>0</v>
      </c>
      <c r="AA38" s="417">
        <f t="shared" si="24"/>
        <v>0</v>
      </c>
      <c r="AB38" s="417">
        <f t="shared" si="24"/>
        <v>0</v>
      </c>
      <c r="AC38" s="417">
        <f t="shared" si="24"/>
        <v>0</v>
      </c>
      <c r="AD38" s="417">
        <f t="shared" si="24"/>
        <v>0</v>
      </c>
      <c r="AE38" s="417">
        <f t="shared" si="24"/>
        <v>0</v>
      </c>
      <c r="AF38" s="417">
        <f t="shared" si="24"/>
        <v>0</v>
      </c>
      <c r="AG38" s="417">
        <f t="shared" si="24"/>
        <v>0</v>
      </c>
      <c r="AH38" s="417">
        <f t="shared" si="24"/>
        <v>0</v>
      </c>
      <c r="AI38" s="417">
        <f t="shared" si="24"/>
        <v>0</v>
      </c>
      <c r="AJ38" s="417">
        <f t="shared" si="24"/>
        <v>0</v>
      </c>
      <c r="AK38" s="417">
        <f t="shared" si="24"/>
        <v>0</v>
      </c>
      <c r="AL38" s="417">
        <f t="shared" si="24"/>
        <v>0</v>
      </c>
      <c r="AM38" s="417">
        <f t="shared" si="24"/>
        <v>0</v>
      </c>
      <c r="AN38" s="417">
        <f t="shared" si="24"/>
        <v>0</v>
      </c>
      <c r="AO38" s="417">
        <f t="shared" si="24"/>
        <v>0</v>
      </c>
      <c r="AP38" s="417">
        <f t="shared" si="24"/>
        <v>0</v>
      </c>
      <c r="AQ38" s="417">
        <f t="shared" si="24"/>
        <v>0</v>
      </c>
      <c r="AR38" s="417">
        <f t="shared" si="24"/>
        <v>0</v>
      </c>
      <c r="AS38" s="417">
        <f t="shared" si="24"/>
        <v>0</v>
      </c>
      <c r="AT38" s="417">
        <f t="shared" si="24"/>
        <v>0</v>
      </c>
      <c r="AU38" s="417">
        <f t="shared" si="24"/>
        <v>0</v>
      </c>
      <c r="AV38" s="417">
        <f t="shared" si="24"/>
        <v>0</v>
      </c>
      <c r="AW38" s="417">
        <f t="shared" si="24"/>
        <v>0</v>
      </c>
    </row>
    <row r="39" spans="2:49" ht="15">
      <c r="B39" s="408" t="s">
        <v>527</v>
      </c>
      <c r="C39" s="408"/>
      <c r="D39" s="408"/>
      <c r="E39" s="409"/>
      <c r="G39" s="418">
        <f>IF(AND(H39&gt;0,'Social Infrastructure'!$B$85&gt;0),H39/'Social Infrastructure'!$B$85,0)</f>
        <v>0</v>
      </c>
      <c r="H39" s="418">
        <f>I39/40</f>
        <v>0</v>
      </c>
      <c r="I39" s="418">
        <f>NPV('Social Infrastructure'!$C$79,J36:AW36)</f>
        <v>0</v>
      </c>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row>
    <row r="40" spans="2:49" s="10" customFormat="1" ht="15">
      <c r="B40" s="406" t="s">
        <v>608</v>
      </c>
      <c r="C40" s="406"/>
      <c r="D40" s="406"/>
      <c r="E40" s="407"/>
      <c r="G40" s="417">
        <f>IF(AND(H40&gt;0,'Social Infrastructure'!$B$85&gt;0),H40/'Social Infrastructure'!$B$85,0)</f>
        <v>0</v>
      </c>
      <c r="H40" s="417">
        <f>I40/40</f>
        <v>0</v>
      </c>
      <c r="I40" s="417">
        <f>NPV('Social Infrastructure'!$C$79,J38:AW38)</f>
        <v>0</v>
      </c>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row>
  </sheetData>
  <sheetProtection algorithmName="SHA-512" hashValue="koxTWgPTVwZSdbbpF4m/7SUQNKP3lV5jHIWqJb3z1GNWU1hEq4j2Pnk23TYn52qpjenP/AW6NdURNBOX8NILWw==" saltValue="Fsk+QAgi9tmBfcEbWQRU8A==" spinCount="100000" sheet="1" objects="1" scenarios="1"/>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799847602844"/>
  </sheetPr>
  <dimension ref="A1:BB143"/>
  <sheetViews>
    <sheetView workbookViewId="0" topLeftCell="E76">
      <selection activeCell="X98" sqref="X98"/>
    </sheetView>
  </sheetViews>
  <sheetFormatPr defaultColWidth="8.7109375" defaultRowHeight="15"/>
  <cols>
    <col min="2" max="2" width="28.7109375" style="0" bestFit="1" customWidth="1"/>
    <col min="3" max="3" width="42.421875" style="0" customWidth="1"/>
    <col min="4" max="4" width="9.421875" style="0" bestFit="1" customWidth="1"/>
    <col min="5" max="5" width="11.421875" style="0" bestFit="1" customWidth="1"/>
    <col min="6" max="6" width="10.421875" style="0" bestFit="1" customWidth="1"/>
    <col min="11" max="11" width="14.421875" style="0" bestFit="1" customWidth="1"/>
    <col min="12" max="53" width="14.421875" style="0" customWidth="1"/>
  </cols>
  <sheetData>
    <row r="1" spans="2:53" ht="15">
      <c r="B1" s="3" t="s">
        <v>13</v>
      </c>
      <c r="C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2:53" ht="15">
      <c r="B2" s="3" t="s">
        <v>14</v>
      </c>
      <c r="C2" s="4"/>
      <c r="G2" s="5"/>
      <c r="H2" s="5"/>
      <c r="I2" s="5"/>
      <c r="J2" s="5"/>
      <c r="K2" s="5"/>
      <c r="L2" s="5"/>
      <c r="M2" s="5">
        <v>15</v>
      </c>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5:53" ht="15">
      <c r="E3" s="126"/>
      <c r="F3" s="118" t="s">
        <v>216</v>
      </c>
      <c r="G3" s="5"/>
      <c r="H3" s="5" t="s">
        <v>16</v>
      </c>
      <c r="I3" s="6">
        <v>0</v>
      </c>
      <c r="J3" s="6"/>
      <c r="K3" s="6"/>
      <c r="L3" s="6"/>
      <c r="M3" s="6"/>
      <c r="N3" s="6">
        <v>1</v>
      </c>
      <c r="O3" s="6">
        <v>2</v>
      </c>
      <c r="P3" s="6">
        <v>3</v>
      </c>
      <c r="Q3" s="6">
        <v>4</v>
      </c>
      <c r="R3" s="6">
        <v>5</v>
      </c>
      <c r="S3" s="6">
        <v>6</v>
      </c>
      <c r="T3" s="6">
        <v>7</v>
      </c>
      <c r="U3" s="6">
        <v>8</v>
      </c>
      <c r="V3" s="6">
        <v>9</v>
      </c>
      <c r="W3" s="6">
        <v>10</v>
      </c>
      <c r="X3" s="6">
        <v>11</v>
      </c>
      <c r="Y3" s="6">
        <v>12</v>
      </c>
      <c r="Z3" s="6">
        <v>13</v>
      </c>
      <c r="AA3" s="6">
        <v>14</v>
      </c>
      <c r="AB3" s="6">
        <v>15</v>
      </c>
      <c r="AC3" s="6">
        <v>16</v>
      </c>
      <c r="AD3" s="6">
        <v>17</v>
      </c>
      <c r="AE3" s="6">
        <v>18</v>
      </c>
      <c r="AF3" s="6">
        <v>19</v>
      </c>
      <c r="AG3" s="6">
        <v>20</v>
      </c>
      <c r="AH3" s="6">
        <v>21</v>
      </c>
      <c r="AI3" s="6">
        <v>22</v>
      </c>
      <c r="AJ3" s="6">
        <v>23</v>
      </c>
      <c r="AK3" s="6">
        <v>24</v>
      </c>
      <c r="AL3" s="6">
        <v>25</v>
      </c>
      <c r="AM3" s="6">
        <v>26</v>
      </c>
      <c r="AN3" s="6">
        <v>27</v>
      </c>
      <c r="AO3" s="6">
        <v>28</v>
      </c>
      <c r="AP3" s="6">
        <v>29</v>
      </c>
      <c r="AQ3" s="6">
        <v>30</v>
      </c>
      <c r="AR3" s="6">
        <v>31</v>
      </c>
      <c r="AS3" s="6">
        <v>32</v>
      </c>
      <c r="AT3" s="6">
        <v>33</v>
      </c>
      <c r="AU3" s="6">
        <v>34</v>
      </c>
      <c r="AV3" s="6">
        <v>35</v>
      </c>
      <c r="AW3" s="6">
        <v>36</v>
      </c>
      <c r="AX3" s="6">
        <v>37</v>
      </c>
      <c r="AY3" s="6">
        <v>38</v>
      </c>
      <c r="AZ3" s="6">
        <v>39</v>
      </c>
      <c r="BA3" s="6">
        <v>40</v>
      </c>
    </row>
    <row r="4" spans="2:53" ht="15">
      <c r="B4" s="7" t="s">
        <v>17</v>
      </c>
      <c r="C4" s="8" t="s">
        <v>18</v>
      </c>
      <c r="D4" s="8" t="s">
        <v>19</v>
      </c>
      <c r="E4" s="8" t="s">
        <v>20</v>
      </c>
      <c r="F4" s="8" t="s">
        <v>20</v>
      </c>
      <c r="G4" s="8" t="s">
        <v>21</v>
      </c>
      <c r="H4" s="8" t="s">
        <v>22</v>
      </c>
      <c r="I4" s="9" t="s">
        <v>549</v>
      </c>
      <c r="J4" s="10"/>
      <c r="K4" s="160" t="s">
        <v>152</v>
      </c>
      <c r="L4" s="160" t="s">
        <v>151</v>
      </c>
      <c r="M4" s="9" t="s">
        <v>24</v>
      </c>
      <c r="N4" s="12" t="s">
        <v>25</v>
      </c>
      <c r="O4" s="12" t="s">
        <v>26</v>
      </c>
      <c r="P4" s="12" t="s">
        <v>27</v>
      </c>
      <c r="Q4" s="12" t="s">
        <v>28</v>
      </c>
      <c r="R4" s="12" t="s">
        <v>29</v>
      </c>
      <c r="S4" s="12" t="s">
        <v>30</v>
      </c>
      <c r="T4" s="12" t="s">
        <v>31</v>
      </c>
      <c r="U4" s="12" t="s">
        <v>32</v>
      </c>
      <c r="V4" s="12" t="s">
        <v>33</v>
      </c>
      <c r="W4" s="12" t="s">
        <v>34</v>
      </c>
      <c r="X4" s="12" t="s">
        <v>35</v>
      </c>
      <c r="Y4" s="12" t="s">
        <v>36</v>
      </c>
      <c r="Z4" s="12" t="s">
        <v>37</v>
      </c>
      <c r="AA4" s="12" t="s">
        <v>38</v>
      </c>
      <c r="AB4" s="12" t="s">
        <v>39</v>
      </c>
      <c r="AC4" s="12" t="s">
        <v>40</v>
      </c>
      <c r="AD4" s="12" t="s">
        <v>41</v>
      </c>
      <c r="AE4" s="12" t="s">
        <v>42</v>
      </c>
      <c r="AF4" s="12" t="s">
        <v>43</v>
      </c>
      <c r="AG4" s="12" t="s">
        <v>44</v>
      </c>
      <c r="AH4" s="12" t="s">
        <v>45</v>
      </c>
      <c r="AI4" s="12" t="s">
        <v>46</v>
      </c>
      <c r="AJ4" s="12" t="s">
        <v>47</v>
      </c>
      <c r="AK4" s="12" t="s">
        <v>48</v>
      </c>
      <c r="AL4" s="12" t="s">
        <v>49</v>
      </c>
      <c r="AM4" s="12" t="s">
        <v>50</v>
      </c>
      <c r="AN4" s="12" t="s">
        <v>51</v>
      </c>
      <c r="AO4" s="12" t="s">
        <v>52</v>
      </c>
      <c r="AP4" s="12" t="s">
        <v>53</v>
      </c>
      <c r="AQ4" s="12" t="s">
        <v>54</v>
      </c>
      <c r="AR4" s="12" t="s">
        <v>55</v>
      </c>
      <c r="AS4" s="12" t="s">
        <v>56</v>
      </c>
      <c r="AT4" s="12" t="s">
        <v>57</v>
      </c>
      <c r="AU4" s="12" t="s">
        <v>58</v>
      </c>
      <c r="AV4" s="12" t="s">
        <v>59</v>
      </c>
      <c r="AW4" s="12" t="s">
        <v>60</v>
      </c>
      <c r="AX4" s="12" t="s">
        <v>61</v>
      </c>
      <c r="AY4" s="12" t="s">
        <v>62</v>
      </c>
      <c r="AZ4" s="12" t="s">
        <v>63</v>
      </c>
      <c r="BA4" s="13" t="s">
        <v>64</v>
      </c>
    </row>
    <row r="5" spans="2:13" ht="15">
      <c r="B5" s="14" t="s">
        <v>65</v>
      </c>
      <c r="I5" s="15"/>
      <c r="K5" s="28"/>
      <c r="L5" s="28"/>
      <c r="M5" s="15"/>
    </row>
    <row r="6" spans="2:53" ht="15">
      <c r="B6" s="16" t="s">
        <v>66</v>
      </c>
      <c r="C6" s="17" t="s">
        <v>421</v>
      </c>
      <c r="D6" s="17" t="s">
        <v>67</v>
      </c>
      <c r="E6" s="18">
        <v>1585.0800000000002</v>
      </c>
      <c r="F6" s="18">
        <f>E6*VLOOKUP('Green+Social Interface'!$I$38,'Look-ups'!$A$15:$B$43,2,0)</f>
        <v>1680.1848000000002</v>
      </c>
      <c r="G6" s="19">
        <v>0.5</v>
      </c>
      <c r="H6" s="116"/>
      <c r="I6" s="21">
        <f>'Green+Social Interface'!$O$6</f>
        <v>0.07</v>
      </c>
      <c r="J6" s="22"/>
      <c r="K6" s="32">
        <f aca="true" t="shared" si="0" ref="K6:K11">IF(AND(L6&gt;0,$B$85&gt;0),L6/$B$85,0)</f>
        <v>0</v>
      </c>
      <c r="L6" s="32">
        <f>AVERAGE(N6:BA6)</f>
        <v>0</v>
      </c>
      <c r="M6" s="151">
        <f>SUM(N6:BA6)</f>
        <v>0</v>
      </c>
      <c r="N6" s="23">
        <f>H6*G6*E6</f>
        <v>0</v>
      </c>
      <c r="O6" s="23">
        <f>N6*(1+'Green+Social Interface'!$I$35)</f>
        <v>0</v>
      </c>
      <c r="P6" s="23">
        <f>O6*(1+'Green+Social Interface'!$I$35)</f>
        <v>0</v>
      </c>
      <c r="Q6" s="23">
        <f>P6*(1+'Green+Social Interface'!$I$35)</f>
        <v>0</v>
      </c>
      <c r="R6" s="23">
        <f>Q6*(1+'Green+Social Interface'!$I$35)</f>
        <v>0</v>
      </c>
      <c r="S6" s="23">
        <f>R6*(1+'Green+Social Interface'!$I$35)</f>
        <v>0</v>
      </c>
      <c r="T6" s="23">
        <f>S6*(1+'Green+Social Interface'!$I$35)</f>
        <v>0</v>
      </c>
      <c r="U6" s="23">
        <f>T6*(1+'Green+Social Interface'!$I$35)</f>
        <v>0</v>
      </c>
      <c r="V6" s="23">
        <f>U6*(1+'Green+Social Interface'!$I$35)</f>
        <v>0</v>
      </c>
      <c r="W6" s="23">
        <f>V6*(1+'Green+Social Interface'!$I$35)</f>
        <v>0</v>
      </c>
      <c r="X6" s="23">
        <f>W6*(1+'Green+Social Interface'!$I$35)</f>
        <v>0</v>
      </c>
      <c r="Y6" s="23">
        <f>X6*(1+'Green+Social Interface'!$I$35)</f>
        <v>0</v>
      </c>
      <c r="Z6" s="23">
        <f>Y6*(1+'Green+Social Interface'!$I$35)</f>
        <v>0</v>
      </c>
      <c r="AA6" s="23">
        <f>Z6*(1+'Green+Social Interface'!$I$35)</f>
        <v>0</v>
      </c>
      <c r="AB6" s="23">
        <f>AA6*(1+'Green+Social Interface'!$I$35)</f>
        <v>0</v>
      </c>
      <c r="AC6" s="23">
        <f>AB6*(1+'Green+Social Interface'!$I$35)</f>
        <v>0</v>
      </c>
      <c r="AD6" s="23">
        <f>AC6*(1+'Green+Social Interface'!$I$35)</f>
        <v>0</v>
      </c>
      <c r="AE6" s="23">
        <f>AD6*(1+'Green+Social Interface'!$I$35)</f>
        <v>0</v>
      </c>
      <c r="AF6" s="23">
        <f>AE6*(1+'Green+Social Interface'!$I$35)</f>
        <v>0</v>
      </c>
      <c r="AG6" s="23">
        <f>AF6*(1+'Green+Social Interface'!$I$35)</f>
        <v>0</v>
      </c>
      <c r="AH6" s="23">
        <f>AG6*(1+'Green+Social Interface'!$I$35)</f>
        <v>0</v>
      </c>
      <c r="AI6" s="23">
        <f>AH6*(1+'Green+Social Interface'!$I$35)</f>
        <v>0</v>
      </c>
      <c r="AJ6" s="23">
        <f>AI6*(1+'Green+Social Interface'!$I$35)</f>
        <v>0</v>
      </c>
      <c r="AK6" s="23">
        <f>AJ6*(1+'Green+Social Interface'!$I$35)</f>
        <v>0</v>
      </c>
      <c r="AL6" s="23">
        <f>AK6*(1+'Green+Social Interface'!$I$35)</f>
        <v>0</v>
      </c>
      <c r="AM6" s="23">
        <f>AL6*(1+'Green+Social Interface'!$I$35)</f>
        <v>0</v>
      </c>
      <c r="AN6" s="23">
        <f>AM6*(1+'Green+Social Interface'!$I$35)</f>
        <v>0</v>
      </c>
      <c r="AO6" s="23">
        <f>AN6*(1+'Green+Social Interface'!$I$35)</f>
        <v>0</v>
      </c>
      <c r="AP6" s="23">
        <f>AO6*(1+'Green+Social Interface'!$I$35)</f>
        <v>0</v>
      </c>
      <c r="AQ6" s="23">
        <f>AP6*(1+'Green+Social Interface'!$I$35)</f>
        <v>0</v>
      </c>
      <c r="AR6" s="23">
        <f>AQ6*(1+'Green+Social Interface'!$I$35)</f>
        <v>0</v>
      </c>
      <c r="AS6" s="23">
        <f>AR6*(1+'Green+Social Interface'!$I$35)</f>
        <v>0</v>
      </c>
      <c r="AT6" s="23">
        <f>AS6*(1+'Green+Social Interface'!$I$35)</f>
        <v>0</v>
      </c>
      <c r="AU6" s="23">
        <f>AT6*(1+'Green+Social Interface'!$I$35)</f>
        <v>0</v>
      </c>
      <c r="AV6" s="23">
        <f>AU6*(1+'Green+Social Interface'!$I$35)</f>
        <v>0</v>
      </c>
      <c r="AW6" s="23">
        <f>AV6*(1+'Green+Social Interface'!$I$35)</f>
        <v>0</v>
      </c>
      <c r="AX6" s="23">
        <f>AW6*(1+'Green+Social Interface'!$I$35)</f>
        <v>0</v>
      </c>
      <c r="AY6" s="23">
        <f>AX6*(1+'Green+Social Interface'!$I$35)</f>
        <v>0</v>
      </c>
      <c r="AZ6" s="23">
        <f>AY6*(1+'Green+Social Interface'!$I$35)</f>
        <v>0</v>
      </c>
      <c r="BA6" s="23">
        <f>AZ6*(1+'Green+Social Interface'!$I$35)</f>
        <v>0</v>
      </c>
    </row>
    <row r="7" spans="2:53" ht="15">
      <c r="B7" s="24"/>
      <c r="C7" s="25" t="s">
        <v>422</v>
      </c>
      <c r="D7" s="25" t="s">
        <v>67</v>
      </c>
      <c r="E7" s="26">
        <v>12370</v>
      </c>
      <c r="F7" s="18">
        <f>E7*VLOOKUP('Green+Social Interface'!$I$38,'Look-ups'!$A$15:$B$43,2,0)</f>
        <v>13112.2</v>
      </c>
      <c r="G7" s="27">
        <v>0.8</v>
      </c>
      <c r="H7" s="20">
        <f>'Green+Social Interface'!$E$6+'Green+Social Interface'!$F$6</f>
        <v>0</v>
      </c>
      <c r="I7" s="21">
        <f>'Green+Social Interface'!$O$6</f>
        <v>0.07</v>
      </c>
      <c r="J7" s="125"/>
      <c r="K7" s="32">
        <f t="shared" si="0"/>
        <v>0</v>
      </c>
      <c r="L7" s="32">
        <f>AVERAGE(N7:BA7)</f>
        <v>0</v>
      </c>
      <c r="M7" s="151">
        <f>SUM(N7:BA7)</f>
        <v>0</v>
      </c>
      <c r="N7" s="23">
        <f>IF('Green+Social Interface'!$J$6="Yes",'Social Infrastructure'!F7*'Social Infrastructure'!G7*'Social Infrastructure'!H7,'Social Infrastructure'!F6*'Social Infrastructure'!G6*'Social Infrastructure'!H7)</f>
        <v>0</v>
      </c>
      <c r="O7" s="23">
        <f>N7*(1+'Green+Social Interface'!$I$35)</f>
        <v>0</v>
      </c>
      <c r="P7" s="23">
        <f>O7*(1+'Green+Social Interface'!$I$35)</f>
        <v>0</v>
      </c>
      <c r="Q7" s="23">
        <f>P7*(1+'Green+Social Interface'!$I$35)</f>
        <v>0</v>
      </c>
      <c r="R7" s="23">
        <f>Q7*(1+'Green+Social Interface'!$I$35)</f>
        <v>0</v>
      </c>
      <c r="S7" s="23">
        <f>R7*(1+'Green+Social Interface'!$I$35)</f>
        <v>0</v>
      </c>
      <c r="T7" s="23">
        <f>S7*(1+'Green+Social Interface'!$I$35)</f>
        <v>0</v>
      </c>
      <c r="U7" s="23">
        <f>T7*(1+'Green+Social Interface'!$I$35)</f>
        <v>0</v>
      </c>
      <c r="V7" s="23">
        <f>U7*(1+'Green+Social Interface'!$I$35)</f>
        <v>0</v>
      </c>
      <c r="W7" s="23">
        <f>V7*(1+'Green+Social Interface'!$I$35)</f>
        <v>0</v>
      </c>
      <c r="X7" s="23">
        <f>W7*(1+'Green+Social Interface'!$I$35)</f>
        <v>0</v>
      </c>
      <c r="Y7" s="23">
        <f>X7*(1+'Green+Social Interface'!$I$35)</f>
        <v>0</v>
      </c>
      <c r="Z7" s="23">
        <f>Y7*(1+'Green+Social Interface'!$I$35)</f>
        <v>0</v>
      </c>
      <c r="AA7" s="23">
        <f>Z7*(1+'Green+Social Interface'!$I$35)</f>
        <v>0</v>
      </c>
      <c r="AB7" s="23">
        <f>AA7*(1+'Green+Social Interface'!$I$35)</f>
        <v>0</v>
      </c>
      <c r="AC7" s="23">
        <f>AB7*(1+'Green+Social Interface'!$I$35)</f>
        <v>0</v>
      </c>
      <c r="AD7" s="23">
        <f>AC7*(1+'Green+Social Interface'!$I$35)</f>
        <v>0</v>
      </c>
      <c r="AE7" s="23">
        <f>AD7*(1+'Green+Social Interface'!$I$35)</f>
        <v>0</v>
      </c>
      <c r="AF7" s="23">
        <f>AE7*(1+'Green+Social Interface'!$I$35)</f>
        <v>0</v>
      </c>
      <c r="AG7" s="23">
        <f>AF7*(1+'Green+Social Interface'!$I$35)</f>
        <v>0</v>
      </c>
      <c r="AH7" s="23">
        <f>AG7*(1+'Green+Social Interface'!$I$35)</f>
        <v>0</v>
      </c>
      <c r="AI7" s="23">
        <f>AH7*(1+'Green+Social Interface'!$I$35)</f>
        <v>0</v>
      </c>
      <c r="AJ7" s="23">
        <f>AI7*(1+'Green+Social Interface'!$I$35)</f>
        <v>0</v>
      </c>
      <c r="AK7" s="23">
        <f>AJ7*(1+'Green+Social Interface'!$I$35)</f>
        <v>0</v>
      </c>
      <c r="AL7" s="23">
        <f>AK7*(1+'Green+Social Interface'!$I$35)</f>
        <v>0</v>
      </c>
      <c r="AM7" s="23">
        <f>AL7*(1+'Green+Social Interface'!$I$35)</f>
        <v>0</v>
      </c>
      <c r="AN7" s="23">
        <f>AM7*(1+'Green+Social Interface'!$I$35)</f>
        <v>0</v>
      </c>
      <c r="AO7" s="23">
        <f>AN7*(1+'Green+Social Interface'!$I$35)</f>
        <v>0</v>
      </c>
      <c r="AP7" s="23">
        <f>AO7*(1+'Green+Social Interface'!$I$35)</f>
        <v>0</v>
      </c>
      <c r="AQ7" s="23">
        <f>AP7*(1+'Green+Social Interface'!$I$35)</f>
        <v>0</v>
      </c>
      <c r="AR7" s="23">
        <f>AQ7*(1+'Green+Social Interface'!$I$35)</f>
        <v>0</v>
      </c>
      <c r="AS7" s="23">
        <f>AR7*(1+'Green+Social Interface'!$I$35)</f>
        <v>0</v>
      </c>
      <c r="AT7" s="23">
        <f>AS7*(1+'Green+Social Interface'!$I$35)</f>
        <v>0</v>
      </c>
      <c r="AU7" s="23">
        <f>AT7*(1+'Green+Social Interface'!$I$35)</f>
        <v>0</v>
      </c>
      <c r="AV7" s="23">
        <f>AU7*(1+'Green+Social Interface'!$I$35)</f>
        <v>0</v>
      </c>
      <c r="AW7" s="23">
        <f>AV7*(1+'Green+Social Interface'!$I$35)</f>
        <v>0</v>
      </c>
      <c r="AX7" s="23">
        <f>AW7*(1+'Green+Social Interface'!$I$35)</f>
        <v>0</v>
      </c>
      <c r="AY7" s="23">
        <f>AX7*(1+'Green+Social Interface'!$I$35)</f>
        <v>0</v>
      </c>
      <c r="AZ7" s="23">
        <f>AY7*(1+'Green+Social Interface'!$I$35)</f>
        <v>0</v>
      </c>
      <c r="BA7" s="23">
        <f>AZ7*(1+'Green+Social Interface'!$I$35)</f>
        <v>0</v>
      </c>
    </row>
    <row r="8" spans="2:53" ht="15">
      <c r="B8" s="24"/>
      <c r="C8" s="25" t="s">
        <v>423</v>
      </c>
      <c r="D8" s="25" t="s">
        <v>67</v>
      </c>
      <c r="E8" s="26">
        <v>5700</v>
      </c>
      <c r="F8" s="18">
        <f>E8*VLOOKUP('Green+Social Interface'!$I$38,'Look-ups'!$A$15:$B$43,2,0)</f>
        <v>6042</v>
      </c>
      <c r="G8" s="27">
        <v>0.8</v>
      </c>
      <c r="H8" s="20">
        <f>'Green+Social Interface'!$E$7+'Green+Social Interface'!$F$7</f>
        <v>0</v>
      </c>
      <c r="I8" s="21">
        <f>'Green+Social Interface'!$O$6</f>
        <v>0.07</v>
      </c>
      <c r="J8" s="125"/>
      <c r="K8" s="32">
        <f t="shared" si="0"/>
        <v>0</v>
      </c>
      <c r="L8" s="32">
        <f>AVERAGE(N8:BA8)</f>
        <v>0</v>
      </c>
      <c r="M8" s="151">
        <f>SUM(N8:BA8)</f>
        <v>0</v>
      </c>
      <c r="N8" s="23">
        <f>IF('Green+Social Interface'!$J$7="Yes",'Social Infrastructure'!F8*'Social Infrastructure'!G8*'Social Infrastructure'!H8,'Social Infrastructure'!$F$6*'Social Infrastructure'!$G$6*'Social Infrastructure'!H8)</f>
        <v>0</v>
      </c>
      <c r="O8" s="23">
        <f>N8*(1+'Green+Social Interface'!$I$35)</f>
        <v>0</v>
      </c>
      <c r="P8" s="23">
        <f>O8*(1+'Green+Social Interface'!$I$35)</f>
        <v>0</v>
      </c>
      <c r="Q8" s="23">
        <f>P8*(1+'Green+Social Interface'!$I$35)</f>
        <v>0</v>
      </c>
      <c r="R8" s="23">
        <f>Q8*(1+'Green+Social Interface'!$I$35)</f>
        <v>0</v>
      </c>
      <c r="S8" s="23">
        <f>R8*(1+'Green+Social Interface'!$I$35)</f>
        <v>0</v>
      </c>
      <c r="T8" s="23">
        <f>S8*(1+'Green+Social Interface'!$I$35)</f>
        <v>0</v>
      </c>
      <c r="U8" s="23">
        <f>T8*(1+'Green+Social Interface'!$I$35)</f>
        <v>0</v>
      </c>
      <c r="V8" s="23">
        <f>U8*(1+'Green+Social Interface'!$I$35)</f>
        <v>0</v>
      </c>
      <c r="W8" s="23">
        <f>V8*(1+'Green+Social Interface'!$I$35)</f>
        <v>0</v>
      </c>
      <c r="X8" s="23">
        <f>W8*(1+'Green+Social Interface'!$I$35)</f>
        <v>0</v>
      </c>
      <c r="Y8" s="23">
        <f>X8*(1+'Green+Social Interface'!$I$35)</f>
        <v>0</v>
      </c>
      <c r="Z8" s="23">
        <f>Y8*(1+'Green+Social Interface'!$I$35)</f>
        <v>0</v>
      </c>
      <c r="AA8" s="23">
        <f>Z8*(1+'Green+Social Interface'!$I$35)</f>
        <v>0</v>
      </c>
      <c r="AB8" s="23">
        <f>AA8*(1+'Green+Social Interface'!$I$35)</f>
        <v>0</v>
      </c>
      <c r="AC8" s="23">
        <f>AB8*(1+'Green+Social Interface'!$I$35)</f>
        <v>0</v>
      </c>
      <c r="AD8" s="23">
        <f>AC8*(1+'Green+Social Interface'!$I$35)</f>
        <v>0</v>
      </c>
      <c r="AE8" s="23">
        <f>AD8*(1+'Green+Social Interface'!$I$35)</f>
        <v>0</v>
      </c>
      <c r="AF8" s="23">
        <f>AE8*(1+'Green+Social Interface'!$I$35)</f>
        <v>0</v>
      </c>
      <c r="AG8" s="23">
        <f>AF8*(1+'Green+Social Interface'!$I$35)</f>
        <v>0</v>
      </c>
      <c r="AH8" s="23">
        <f>AG8*(1+'Green+Social Interface'!$I$35)</f>
        <v>0</v>
      </c>
      <c r="AI8" s="23">
        <f>AH8*(1+'Green+Social Interface'!$I$35)</f>
        <v>0</v>
      </c>
      <c r="AJ8" s="23">
        <f>AI8*(1+'Green+Social Interface'!$I$35)</f>
        <v>0</v>
      </c>
      <c r="AK8" s="23">
        <f>AJ8*(1+'Green+Social Interface'!$I$35)</f>
        <v>0</v>
      </c>
      <c r="AL8" s="23">
        <f>AK8*(1+'Green+Social Interface'!$I$35)</f>
        <v>0</v>
      </c>
      <c r="AM8" s="23">
        <f>AL8*(1+'Green+Social Interface'!$I$35)</f>
        <v>0</v>
      </c>
      <c r="AN8" s="23">
        <f>AM8*(1+'Green+Social Interface'!$I$35)</f>
        <v>0</v>
      </c>
      <c r="AO8" s="23">
        <f>AN8*(1+'Green+Social Interface'!$I$35)</f>
        <v>0</v>
      </c>
      <c r="AP8" s="23">
        <f>AO8*(1+'Green+Social Interface'!$I$35)</f>
        <v>0</v>
      </c>
      <c r="AQ8" s="23">
        <f>AP8*(1+'Green+Social Interface'!$I$35)</f>
        <v>0</v>
      </c>
      <c r="AR8" s="23">
        <f>AQ8*(1+'Green+Social Interface'!$I$35)</f>
        <v>0</v>
      </c>
      <c r="AS8" s="23">
        <f>AR8*(1+'Green+Social Interface'!$I$35)</f>
        <v>0</v>
      </c>
      <c r="AT8" s="23">
        <f>AS8*(1+'Green+Social Interface'!$I$35)</f>
        <v>0</v>
      </c>
      <c r="AU8" s="23">
        <f>AT8*(1+'Green+Social Interface'!$I$35)</f>
        <v>0</v>
      </c>
      <c r="AV8" s="23">
        <f>AU8*(1+'Green+Social Interface'!$I$35)</f>
        <v>0</v>
      </c>
      <c r="AW8" s="23">
        <f>AV8*(1+'Green+Social Interface'!$I$35)</f>
        <v>0</v>
      </c>
      <c r="AX8" s="23">
        <f>AW8*(1+'Green+Social Interface'!$I$35)</f>
        <v>0</v>
      </c>
      <c r="AY8" s="23">
        <f>AX8*(1+'Green+Social Interface'!$I$35)</f>
        <v>0</v>
      </c>
      <c r="AZ8" s="23">
        <f>AY8*(1+'Green+Social Interface'!$I$35)</f>
        <v>0</v>
      </c>
      <c r="BA8" s="23">
        <f>AZ8*(1+'Green+Social Interface'!$I$35)</f>
        <v>0</v>
      </c>
    </row>
    <row r="9" spans="2:53" ht="15">
      <c r="B9" s="24"/>
      <c r="C9" s="25" t="s">
        <v>592</v>
      </c>
      <c r="D9" s="25" t="s">
        <v>67</v>
      </c>
      <c r="E9" s="26">
        <v>4722</v>
      </c>
      <c r="F9" s="18">
        <f>E9*VLOOKUP('Green+Social Interface'!$I$38,'Look-ups'!$A$15:$B$43,2,0)</f>
        <v>5005.320000000001</v>
      </c>
      <c r="G9" s="27">
        <v>0.8</v>
      </c>
      <c r="H9" s="20">
        <f>'Green+Social Interface'!$E$8+'Green+Social Interface'!$F$8</f>
        <v>0</v>
      </c>
      <c r="I9" s="21">
        <f>'Green+Social Interface'!$O$6</f>
        <v>0.07</v>
      </c>
      <c r="J9" s="125"/>
      <c r="K9" s="32">
        <f t="shared" si="0"/>
        <v>0</v>
      </c>
      <c r="L9" s="32">
        <f aca="true" t="shared" si="1" ref="L9:L10">AVERAGE(N9:BA9)</f>
        <v>0</v>
      </c>
      <c r="M9" s="151">
        <f aca="true" t="shared" si="2" ref="M9:M10">SUM(N9:BA9)</f>
        <v>0</v>
      </c>
      <c r="N9" s="23">
        <f>IF('Green+Social Interface'!J6="Yes",'Social Infrastructure'!F9*'Social Infrastructure'!G9*'Social Infrastructure'!H9,'Social Infrastructure'!$F$6*'Social Infrastructure'!$G$6*'Social Infrastructure'!H9)</f>
        <v>0</v>
      </c>
      <c r="O9" s="23">
        <f>N9*(1+'Green+Social Interface'!$I$35)</f>
        <v>0</v>
      </c>
      <c r="P9" s="23">
        <f>O9*(1+'Green+Social Interface'!$I$35)</f>
        <v>0</v>
      </c>
      <c r="Q9" s="23">
        <f>P9*(1+'Green+Social Interface'!$I$35)</f>
        <v>0</v>
      </c>
      <c r="R9" s="23">
        <f>Q9*(1+'Green+Social Interface'!$I$35)</f>
        <v>0</v>
      </c>
      <c r="S9" s="23">
        <f>R9*(1+'Green+Social Interface'!$I$35)</f>
        <v>0</v>
      </c>
      <c r="T9" s="23">
        <f>S9*(1+'Green+Social Interface'!$I$35)</f>
        <v>0</v>
      </c>
      <c r="U9" s="23">
        <f>T9*(1+'Green+Social Interface'!$I$35)</f>
        <v>0</v>
      </c>
      <c r="V9" s="23">
        <f>U9*(1+'Green+Social Interface'!$I$35)</f>
        <v>0</v>
      </c>
      <c r="W9" s="23">
        <f>V9*(1+'Green+Social Interface'!$I$35)</f>
        <v>0</v>
      </c>
      <c r="X9" s="23">
        <f>W9*(1+'Green+Social Interface'!$I$35)</f>
        <v>0</v>
      </c>
      <c r="Y9" s="23">
        <f>X9*(1+'Green+Social Interface'!$I$35)</f>
        <v>0</v>
      </c>
      <c r="Z9" s="23">
        <f>Y9*(1+'Green+Social Interface'!$I$35)</f>
        <v>0</v>
      </c>
      <c r="AA9" s="23">
        <f>Z9*(1+'Green+Social Interface'!$I$35)</f>
        <v>0</v>
      </c>
      <c r="AB9" s="23">
        <f>AA9*(1+'Green+Social Interface'!$I$35)</f>
        <v>0</v>
      </c>
      <c r="AC9" s="23">
        <f>AB9*(1+'Green+Social Interface'!$I$35)</f>
        <v>0</v>
      </c>
      <c r="AD9" s="23">
        <f>AC9*(1+'Green+Social Interface'!$I$35)</f>
        <v>0</v>
      </c>
      <c r="AE9" s="23">
        <f>AD9*(1+'Green+Social Interface'!$I$35)</f>
        <v>0</v>
      </c>
      <c r="AF9" s="23">
        <f>AE9*(1+'Green+Social Interface'!$I$35)</f>
        <v>0</v>
      </c>
      <c r="AG9" s="23">
        <f>AF9*(1+'Green+Social Interface'!$I$35)</f>
        <v>0</v>
      </c>
      <c r="AH9" s="23">
        <f>AG9*(1+'Green+Social Interface'!$I$35)</f>
        <v>0</v>
      </c>
      <c r="AI9" s="23">
        <f>AH9*(1+'Green+Social Interface'!$I$35)</f>
        <v>0</v>
      </c>
      <c r="AJ9" s="23">
        <f>AI9*(1+'Green+Social Interface'!$I$35)</f>
        <v>0</v>
      </c>
      <c r="AK9" s="23">
        <f>AJ9*(1+'Green+Social Interface'!$I$35)</f>
        <v>0</v>
      </c>
      <c r="AL9" s="23">
        <f>AK9*(1+'Green+Social Interface'!$I$35)</f>
        <v>0</v>
      </c>
      <c r="AM9" s="23">
        <f>AL9*(1+'Green+Social Interface'!$I$35)</f>
        <v>0</v>
      </c>
      <c r="AN9" s="23">
        <f>AM9*(1+'Green+Social Interface'!$I$35)</f>
        <v>0</v>
      </c>
      <c r="AO9" s="23">
        <f>AN9*(1+'Green+Social Interface'!$I$35)</f>
        <v>0</v>
      </c>
      <c r="AP9" s="23">
        <f>AO9*(1+'Green+Social Interface'!$I$35)</f>
        <v>0</v>
      </c>
      <c r="AQ9" s="23">
        <f>AP9*(1+'Green+Social Interface'!$I$35)</f>
        <v>0</v>
      </c>
      <c r="AR9" s="23">
        <f>AQ9*(1+'Green+Social Interface'!$I$35)</f>
        <v>0</v>
      </c>
      <c r="AS9" s="23">
        <f>AR9*(1+'Green+Social Interface'!$I$35)</f>
        <v>0</v>
      </c>
      <c r="AT9" s="23">
        <f>AS9*(1+'Green+Social Interface'!$I$35)</f>
        <v>0</v>
      </c>
      <c r="AU9" s="23">
        <f>AT9*(1+'Green+Social Interface'!$I$35)</f>
        <v>0</v>
      </c>
      <c r="AV9" s="23">
        <f>AU9*(1+'Green+Social Interface'!$I$35)</f>
        <v>0</v>
      </c>
      <c r="AW9" s="23">
        <f>AV9*(1+'Green+Social Interface'!$I$35)</f>
        <v>0</v>
      </c>
      <c r="AX9" s="23">
        <f>AW9*(1+'Green+Social Interface'!$I$35)</f>
        <v>0</v>
      </c>
      <c r="AY9" s="23">
        <f>AX9*(1+'Green+Social Interface'!$I$35)</f>
        <v>0</v>
      </c>
      <c r="AZ9" s="23">
        <f>AY9*(1+'Green+Social Interface'!$I$35)</f>
        <v>0</v>
      </c>
      <c r="BA9" s="23">
        <f>AZ9*(1+'Green+Social Interface'!$I$35)</f>
        <v>0</v>
      </c>
    </row>
    <row r="10" spans="2:53" ht="15">
      <c r="B10" s="24"/>
      <c r="C10" s="25" t="s">
        <v>593</v>
      </c>
      <c r="D10" s="25" t="s">
        <v>67</v>
      </c>
      <c r="E10" s="26">
        <v>1914</v>
      </c>
      <c r="F10" s="18">
        <f>E10*VLOOKUP('Green+Social Interface'!$I$38,'Look-ups'!$A$15:$B$43,2,0)</f>
        <v>2028.8400000000001</v>
      </c>
      <c r="G10" s="27">
        <v>0.8</v>
      </c>
      <c r="H10" s="20">
        <f>'Green+Social Interface'!$E$9+'Green+Social Interface'!$F$9</f>
        <v>0</v>
      </c>
      <c r="I10" s="21">
        <f>'Green+Social Interface'!$O$6</f>
        <v>0.07</v>
      </c>
      <c r="J10" s="125"/>
      <c r="K10" s="32">
        <f t="shared" si="0"/>
        <v>0</v>
      </c>
      <c r="L10" s="32">
        <f t="shared" si="1"/>
        <v>0</v>
      </c>
      <c r="M10" s="151">
        <f t="shared" si="2"/>
        <v>0</v>
      </c>
      <c r="N10" s="23">
        <f>IF('Green+Social Interface'!J7="Yes",'Social Infrastructure'!F10*'Social Infrastructure'!G10*'Social Infrastructure'!H10,'Social Infrastructure'!$F$10*'Social Infrastructure'!$G$6*'Social Infrastructure'!H10)</f>
        <v>0</v>
      </c>
      <c r="O10" s="23">
        <f>N10*(1+'Green+Social Interface'!$I$35)</f>
        <v>0</v>
      </c>
      <c r="P10" s="23">
        <f>O10*(1+'Green+Social Interface'!$I$35)</f>
        <v>0</v>
      </c>
      <c r="Q10" s="23">
        <f>P10*(1+'Green+Social Interface'!$I$35)</f>
        <v>0</v>
      </c>
      <c r="R10" s="23">
        <f>Q10*(1+'Green+Social Interface'!$I$35)</f>
        <v>0</v>
      </c>
      <c r="S10" s="23">
        <f>R10*(1+'Green+Social Interface'!$I$35)</f>
        <v>0</v>
      </c>
      <c r="T10" s="23">
        <f>S10*(1+'Green+Social Interface'!$I$35)</f>
        <v>0</v>
      </c>
      <c r="U10" s="23">
        <f>T10*(1+'Green+Social Interface'!$I$35)</f>
        <v>0</v>
      </c>
      <c r="V10" s="23">
        <f>U10*(1+'Green+Social Interface'!$I$35)</f>
        <v>0</v>
      </c>
      <c r="W10" s="23">
        <f>V10*(1+'Green+Social Interface'!$I$35)</f>
        <v>0</v>
      </c>
      <c r="X10" s="23">
        <f>W10*(1+'Green+Social Interface'!$I$35)</f>
        <v>0</v>
      </c>
      <c r="Y10" s="23">
        <f>X10*(1+'Green+Social Interface'!$I$35)</f>
        <v>0</v>
      </c>
      <c r="Z10" s="23">
        <f>Y10*(1+'Green+Social Interface'!$I$35)</f>
        <v>0</v>
      </c>
      <c r="AA10" s="23">
        <f>Z10*(1+'Green+Social Interface'!$I$35)</f>
        <v>0</v>
      </c>
      <c r="AB10" s="23">
        <f>AA10*(1+'Green+Social Interface'!$I$35)</f>
        <v>0</v>
      </c>
      <c r="AC10" s="23">
        <f>AB10*(1+'Green+Social Interface'!$I$35)</f>
        <v>0</v>
      </c>
      <c r="AD10" s="23">
        <f>AC10*(1+'Green+Social Interface'!$I$35)</f>
        <v>0</v>
      </c>
      <c r="AE10" s="23">
        <f>AD10*(1+'Green+Social Interface'!$I$35)</f>
        <v>0</v>
      </c>
      <c r="AF10" s="23">
        <f>AE10*(1+'Green+Social Interface'!$I$35)</f>
        <v>0</v>
      </c>
      <c r="AG10" s="23">
        <f>AF10*(1+'Green+Social Interface'!$I$35)</f>
        <v>0</v>
      </c>
      <c r="AH10" s="23">
        <f>AG10*(1+'Green+Social Interface'!$I$35)</f>
        <v>0</v>
      </c>
      <c r="AI10" s="23">
        <f>AH10*(1+'Green+Social Interface'!$I$35)</f>
        <v>0</v>
      </c>
      <c r="AJ10" s="23">
        <f>AI10*(1+'Green+Social Interface'!$I$35)</f>
        <v>0</v>
      </c>
      <c r="AK10" s="23">
        <f>AJ10*(1+'Green+Social Interface'!$I$35)</f>
        <v>0</v>
      </c>
      <c r="AL10" s="23">
        <f>AK10*(1+'Green+Social Interface'!$I$35)</f>
        <v>0</v>
      </c>
      <c r="AM10" s="23">
        <f>AL10*(1+'Green+Social Interface'!$I$35)</f>
        <v>0</v>
      </c>
      <c r="AN10" s="23">
        <f>AM10*(1+'Green+Social Interface'!$I$35)</f>
        <v>0</v>
      </c>
      <c r="AO10" s="23">
        <f>AN10*(1+'Green+Social Interface'!$I$35)</f>
        <v>0</v>
      </c>
      <c r="AP10" s="23">
        <f>AO10*(1+'Green+Social Interface'!$I$35)</f>
        <v>0</v>
      </c>
      <c r="AQ10" s="23">
        <f>AP10*(1+'Green+Social Interface'!$I$35)</f>
        <v>0</v>
      </c>
      <c r="AR10" s="23">
        <f>AQ10*(1+'Green+Social Interface'!$I$35)</f>
        <v>0</v>
      </c>
      <c r="AS10" s="23">
        <f>AR10*(1+'Green+Social Interface'!$I$35)</f>
        <v>0</v>
      </c>
      <c r="AT10" s="23">
        <f>AS10*(1+'Green+Social Interface'!$I$35)</f>
        <v>0</v>
      </c>
      <c r="AU10" s="23">
        <f>AT10*(1+'Green+Social Interface'!$I$35)</f>
        <v>0</v>
      </c>
      <c r="AV10" s="23">
        <f>AU10*(1+'Green+Social Interface'!$I$35)</f>
        <v>0</v>
      </c>
      <c r="AW10" s="23">
        <f>AV10*(1+'Green+Social Interface'!$I$35)</f>
        <v>0</v>
      </c>
      <c r="AX10" s="23">
        <f>AW10*(1+'Green+Social Interface'!$I$35)</f>
        <v>0</v>
      </c>
      <c r="AY10" s="23">
        <f>AX10*(1+'Green+Social Interface'!$I$35)</f>
        <v>0</v>
      </c>
      <c r="AZ10" s="23">
        <f>AY10*(1+'Green+Social Interface'!$I$35)</f>
        <v>0</v>
      </c>
      <c r="BA10" s="23">
        <f>AZ10*(1+'Green+Social Interface'!$I$35)</f>
        <v>0</v>
      </c>
    </row>
    <row r="11" spans="2:53" s="165" customFormat="1" ht="15">
      <c r="B11" s="229"/>
      <c r="C11" s="25" t="s">
        <v>1</v>
      </c>
      <c r="D11" s="25" t="s">
        <v>67</v>
      </c>
      <c r="E11" s="26">
        <v>-3360</v>
      </c>
      <c r="F11" s="18">
        <f>E11*VLOOKUP('Green+Social Interface'!$I$38,'Look-ups'!$A$15:$B$43,2,0)</f>
        <v>-3561.6000000000004</v>
      </c>
      <c r="G11" s="27">
        <v>1</v>
      </c>
      <c r="H11" s="25">
        <f>'Green+Social Interface'!$E$11++'Green+Social Interface'!$F$11</f>
        <v>0</v>
      </c>
      <c r="I11" s="21">
        <f>'Green+Social Interface'!$O$6</f>
        <v>0.07</v>
      </c>
      <c r="J11" s="125"/>
      <c r="K11" s="32">
        <f t="shared" si="0"/>
        <v>0</v>
      </c>
      <c r="L11" s="32">
        <f>AVERAGE(N11:BA11)</f>
        <v>0</v>
      </c>
      <c r="M11" s="151">
        <f>SUM(N11:BA11)</f>
        <v>0</v>
      </c>
      <c r="N11" s="23">
        <f>H11*G11*F11</f>
        <v>0</v>
      </c>
      <c r="O11" s="23">
        <f>IF(O$3&lt;5,N11*(1+$Q$107)+($G11*$H11*2340)*VLOOKUP('Green+Social Interface'!$I$38,'Look-ups'!$A$15:$B$43,2,0)*(1-$I11)^(O$3-1)*(1+$Q$107)^(O$3-1),N11*(1+$Q$107))</f>
        <v>0</v>
      </c>
      <c r="P11" s="23">
        <f>IF(P$3&lt;5,O11*(1+$Q$107)+($G11*$H11*2340)*VLOOKUP('Green+Social Interface'!$I$38,'Look-ups'!$A$15:$B$43,2,0)*(1-$I11)^(P$3-1)*(1+$Q$107)^(P$3-1),O11*(1+$Q$107))</f>
        <v>0</v>
      </c>
      <c r="Q11" s="23">
        <f>IF(Q$3&lt;5,P11*(1+$Q$107)+($G11*$H11*2340)*VLOOKUP('Green+Social Interface'!$I$38,'Look-ups'!$A$15:$B$43,2,0)*(1-$I11)^(Q$3-1)*(1+$Q$107)^(Q$3-1),P11*(1+$Q$107))</f>
        <v>0</v>
      </c>
      <c r="R11" s="23">
        <f>IF(R$3&lt;5,Q11*(1+$Q$107)+($G11*$H11*2340)*VLOOKUP('Green+Social Interface'!$I$38,'Look-ups'!$A$15:$B$43,2,0)*(1-$I11)^(R$3-1)*(1+$Q$107)^(R$3-1),Q11*(1+$Q$107))</f>
        <v>0</v>
      </c>
      <c r="S11" s="23">
        <f>IF(S$3&lt;5,R11*(1+$Q$107)+($G11*$H11*2340)*VLOOKUP('Green+Social Interface'!$I$38,'Look-ups'!$A$15:$B$43,2,0)*(1-$I11)^(S$3-1)*(1+$Q$107)^(S$3-1),R11*(1+$Q$107))</f>
        <v>0</v>
      </c>
      <c r="T11" s="23">
        <f>IF(T$3&lt;5,S11*(1+$Q$107)+($G11*$H11*2340)*VLOOKUP('Green+Social Interface'!$I$38,'Look-ups'!$A$15:$B$43,2,0)*(1-$I11)^(T$3-1)*(1+$Q$107)^(T$3-1),S11*(1+$Q$107))</f>
        <v>0</v>
      </c>
      <c r="U11" s="23">
        <f>IF(U$3&lt;5,T11*(1+$Q$107)+($G11*$H11*2340)*VLOOKUP('Green+Social Interface'!$I$38,'Look-ups'!$A$15:$B$43,2,0)*(1-$I11)^(U$3-1)*(1+$Q$107)^(U$3-1),T11*(1+$Q$107))</f>
        <v>0</v>
      </c>
      <c r="V11" s="23">
        <f>IF(V$3&lt;5,U11*(1+$Q$107)+($G11*$H11*2340)*VLOOKUP('Green+Social Interface'!$I$38,'Look-ups'!$A$15:$B$43,2,0)*(1-$I11)^(V$3-1)*(1+$Q$107)^(V$3-1),U11*(1+$Q$107))</f>
        <v>0</v>
      </c>
      <c r="W11" s="23">
        <f>IF(W$3&lt;5,V11*(1+$Q$107)+($G11*$H11*2340)*VLOOKUP('Green+Social Interface'!$I$38,'Look-ups'!$A$15:$B$43,2,0)*(1-$I11)^(W$3-1)*(1+$Q$107)^(W$3-1),V11*(1+$Q$107))</f>
        <v>0</v>
      </c>
      <c r="X11" s="23">
        <f>IF(X$3&lt;5,W11*(1+$Q$107)+($G11*$H11*2340)*VLOOKUP('Green+Social Interface'!$I$38,'Look-ups'!$A$15:$B$43,2,0)*(1-$I11)^(X$3-1)*(1+$Q$107)^(X$3-1),W11*(1+$Q$107))</f>
        <v>0</v>
      </c>
      <c r="Y11" s="23">
        <f>IF(Y$3&lt;5,X11*(1+$Q$107)+($G11*$H11*2340)*VLOOKUP('Green+Social Interface'!$I$38,'Look-ups'!$A$15:$B$43,2,0)*(1-$I11)^(Y$3-1)*(1+$Q$107)^(Y$3-1),X11*(1+$Q$107))</f>
        <v>0</v>
      </c>
      <c r="Z11" s="23">
        <f>IF(Z$3&lt;5,Y11*(1+$Q$107)+($G11*$H11*2340)*VLOOKUP('Green+Social Interface'!$I$38,'Look-ups'!$A$15:$B$43,2,0)*(1-$I11)^(Z$3-1)*(1+$Q$107)^(Z$3-1),Y11*(1+$Q$107))</f>
        <v>0</v>
      </c>
      <c r="AA11" s="23">
        <f>IF(AA$3&lt;5,Z11*(1+$Q$107)+($G11*$H11*2340)*VLOOKUP('Green+Social Interface'!$I$38,'Look-ups'!$A$15:$B$43,2,0)*(1-$I11)^(AA$3-1)*(1+$Q$107)^(AA$3-1),Z11*(1+$Q$107))</f>
        <v>0</v>
      </c>
      <c r="AB11" s="23">
        <f>IF(AB$3&lt;5,AA11*(1+$Q$107)+($G11*$H11*2340)*VLOOKUP('Green+Social Interface'!$I$38,'Look-ups'!$A$15:$B$43,2,0)*(1-$I11)^(AB$3-1)*(1+$Q$107)^(AB$3-1),AA11*(1+$Q$107))</f>
        <v>0</v>
      </c>
      <c r="AC11" s="23">
        <f>IF(AC$3&lt;5,AB11*(1+$Q$107)+($G11*$H11*2340)*VLOOKUP('Green+Social Interface'!$I$38,'Look-ups'!$A$15:$B$43,2,0)*(1-$I11)^(AC$3-1)*(1+$Q$107)^(AC$3-1),AB11*(1+$Q$107))</f>
        <v>0</v>
      </c>
      <c r="AD11" s="23">
        <f>IF(AD$3&lt;5,AC11*(1+$Q$107)+($G11*$H11*2340)*VLOOKUP('Green+Social Interface'!$I$38,'Look-ups'!$A$15:$B$43,2,0)*(1-$I11)^(AD$3-1)*(1+$Q$107)^(AD$3-1),AC11*(1+$Q$107))</f>
        <v>0</v>
      </c>
      <c r="AE11" s="23">
        <f>IF(AE$3&lt;5,AD11*(1+$Q$107)+($G11*$H11*2340)*VLOOKUP('Green+Social Interface'!$I$38,'Look-ups'!$A$15:$B$43,2,0)*(1-$I11)^(AE$3-1)*(1+$Q$107)^(AE$3-1),AD11*(1+$Q$107))</f>
        <v>0</v>
      </c>
      <c r="AF11" s="23">
        <f>IF(AF$3&lt;5,AE11*(1+$Q$107)+($G11*$H11*2340)*VLOOKUP('Green+Social Interface'!$I$38,'Look-ups'!$A$15:$B$43,2,0)*(1-$I11)^(AF$3-1)*(1+$Q$107)^(AF$3-1),AE11*(1+$Q$107))</f>
        <v>0</v>
      </c>
      <c r="AG11" s="23">
        <f>IF(AG$3&lt;5,AF11*(1+$Q$107)+($G11*$H11*2340)*VLOOKUP('Green+Social Interface'!$I$38,'Look-ups'!$A$15:$B$43,2,0)*(1-$I11)^(AG$3-1)*(1+$Q$107)^(AG$3-1),AF11*(1+$Q$107))</f>
        <v>0</v>
      </c>
      <c r="AH11" s="23">
        <f>IF(AH$3&lt;5,AG11*(1+$Q$107)+($G11*$H11*2340)*VLOOKUP('Green+Social Interface'!$I$38,'Look-ups'!$A$15:$B$43,2,0)*(1-$I11)^(AH$3-1)*(1+$Q$107)^(AH$3-1),AG11*(1+$Q$107))</f>
        <v>0</v>
      </c>
      <c r="AI11" s="23">
        <f>IF(AI$3&lt;5,AH11*(1+$Q$107)+($G11*$H11*2340)*VLOOKUP('Green+Social Interface'!$I$38,'Look-ups'!$A$15:$B$43,2,0)*(1-$I11)^(AI$3-1)*(1+$Q$107)^(AI$3-1),AH11*(1+$Q$107))</f>
        <v>0</v>
      </c>
      <c r="AJ11" s="23">
        <f>IF(AJ$3&lt;5,AI11*(1+$Q$107)+($G11*$H11*2340)*VLOOKUP('Green+Social Interface'!$I$38,'Look-ups'!$A$15:$B$43,2,0)*(1-$I11)^(AJ$3-1)*(1+$Q$107)^(AJ$3-1),AI11*(1+$Q$107))</f>
        <v>0</v>
      </c>
      <c r="AK11" s="23">
        <f>IF(AK$3&lt;5,AJ11*(1+$Q$107)+($G11*$H11*2340)*VLOOKUP('Green+Social Interface'!$I$38,'Look-ups'!$A$15:$B$43,2,0)*(1-$I11)^(AK$3-1)*(1+$Q$107)^(AK$3-1),AJ11*(1+$Q$107))</f>
        <v>0</v>
      </c>
      <c r="AL11" s="23">
        <f>IF(AL$3&lt;5,AK11*(1+$Q$107)+($G11*$H11*2340)*VLOOKUP('Green+Social Interface'!$I$38,'Look-ups'!$A$15:$B$43,2,0)*(1-$I11)^(AL$3-1)*(1+$Q$107)^(AL$3-1),AK11*(1+$Q$107))</f>
        <v>0</v>
      </c>
      <c r="AM11" s="23">
        <f>IF(AM$3&lt;5,AL11*(1+$Q$107)+($G11*$H11*2340)*VLOOKUP('Green+Social Interface'!$I$38,'Look-ups'!$A$15:$B$43,2,0)*(1-$I11)^(AM$3-1)*(1+$Q$107)^(AM$3-1),AL11*(1+$Q$107))</f>
        <v>0</v>
      </c>
      <c r="AN11" s="23">
        <f>IF(AN$3&lt;5,AM11*(1+$Q$107)+($G11*$H11*2340)*VLOOKUP('Green+Social Interface'!$I$38,'Look-ups'!$A$15:$B$43,2,0)*(1-$I11)^(AN$3-1)*(1+$Q$107)^(AN$3-1),AM11*(1+$Q$107))</f>
        <v>0</v>
      </c>
      <c r="AO11" s="23">
        <f>IF(AO$3&lt;5,AN11*(1+$Q$107)+($G11*$H11*2340)*VLOOKUP('Green+Social Interface'!$I$38,'Look-ups'!$A$15:$B$43,2,0)*(1-$I11)^(AO$3-1)*(1+$Q$107)^(AO$3-1),AN11*(1+$Q$107))</f>
        <v>0</v>
      </c>
      <c r="AP11" s="23">
        <f>IF(AP$3&lt;5,AO11*(1+$Q$107)+($G11*$H11*2340)*VLOOKUP('Green+Social Interface'!$I$38,'Look-ups'!$A$15:$B$43,2,0)*(1-$I11)^(AP$3-1)*(1+$Q$107)^(AP$3-1),AO11*(1+$Q$107))</f>
        <v>0</v>
      </c>
      <c r="AQ11" s="23">
        <f>IF(AQ$3&lt;5,AP11*(1+$Q$107)+($G11*$H11*2340)*VLOOKUP('Green+Social Interface'!$I$38,'Look-ups'!$A$15:$B$43,2,0)*(1-$I11)^(AQ$3-1)*(1+$Q$107)^(AQ$3-1),AP11*(1+$Q$107))</f>
        <v>0</v>
      </c>
      <c r="AR11" s="23">
        <f>IF(AR$3&lt;5,AQ11*(1+$Q$107)+($G11*$H11*2340)*VLOOKUP('Green+Social Interface'!$I$38,'Look-ups'!$A$15:$B$43,2,0)*(1-$I11)^(AR$3-1)*(1+$Q$107)^(AR$3-1),AQ11*(1+$Q$107))</f>
        <v>0</v>
      </c>
      <c r="AS11" s="23">
        <f>IF(AS$3&lt;5,AR11*(1+$Q$107)+($G11*$H11*2340)*VLOOKUP('Green+Social Interface'!$I$38,'Look-ups'!$A$15:$B$43,2,0)*(1-$I11)^(AS$3-1)*(1+$Q$107)^(AS$3-1),AR11*(1+$Q$107))</f>
        <v>0</v>
      </c>
      <c r="AT11" s="23">
        <f>IF(AT$3&lt;5,AS11*(1+$Q$107)+($G11*$H11*2340)*VLOOKUP('Green+Social Interface'!$I$38,'Look-ups'!$A$15:$B$43,2,0)*(1-$I11)^(AT$3-1)*(1+$Q$107)^(AT$3-1),AS11*(1+$Q$107))</f>
        <v>0</v>
      </c>
      <c r="AU11" s="23">
        <f>IF(AU$3&lt;5,AT11*(1+$Q$107)+($G11*$H11*2340)*VLOOKUP('Green+Social Interface'!$I$38,'Look-ups'!$A$15:$B$43,2,0)*(1-$I11)^(AU$3-1)*(1+$Q$107)^(AU$3-1),AT11*(1+$Q$107))</f>
        <v>0</v>
      </c>
      <c r="AV11" s="23">
        <f>IF(AV$3&lt;5,AU11*(1+$Q$107)+($G11*$H11*2340)*VLOOKUP('Green+Social Interface'!$I$38,'Look-ups'!$A$15:$B$43,2,0)*(1-$I11)^(AV$3-1)*(1+$Q$107)^(AV$3-1),AU11*(1+$Q$107))</f>
        <v>0</v>
      </c>
      <c r="AW11" s="23">
        <f>IF(AW$3&lt;5,AV11*(1+$Q$107)+($G11*$H11*2340)*VLOOKUP('Green+Social Interface'!$I$38,'Look-ups'!$A$15:$B$43,2,0)*(1-$I11)^(AW$3-1)*(1+$Q$107)^(AW$3-1),AV11*(1+$Q$107))</f>
        <v>0</v>
      </c>
      <c r="AX11" s="23">
        <f>IF(AX$3&lt;5,AW11*(1+$Q$107)+($G11*$H11*2340)*VLOOKUP('Green+Social Interface'!$I$38,'Look-ups'!$A$15:$B$43,2,0)*(1-$I11)^(AX$3-1)*(1+$Q$107)^(AX$3-1),AW11*(1+$Q$107))</f>
        <v>0</v>
      </c>
      <c r="AY11" s="23">
        <f>IF(AY$3&lt;5,AX11*(1+$Q$107)+($G11*$H11*2340)*VLOOKUP('Green+Social Interface'!$I$38,'Look-ups'!$A$15:$B$43,2,0)*(1-$I11)^(AY$3-1)*(1+$Q$107)^(AY$3-1),AX11*(1+$Q$107))</f>
        <v>0</v>
      </c>
      <c r="AZ11" s="23">
        <f>IF(AZ$3&lt;5,AY11*(1+$Q$107)+($G11*$H11*2340)*VLOOKUP('Green+Social Interface'!$I$38,'Look-ups'!$A$15:$B$43,2,0)*(1-$I11)^(AZ$3-1)*(1+$Q$107)^(AZ$3-1),AY11*(1+$Q$107))</f>
        <v>0</v>
      </c>
      <c r="BA11" s="23">
        <f>IF(BA$3&lt;5,AZ11*(1+$Q$107)+($G11*$H11*2340)*VLOOKUP('Green+Social Interface'!$I$38,'Look-ups'!$A$15:$B$43,2,0)*(1-$I11)^(BA$3-1)*(1+$Q$107)^(BA$3-1),AZ11*(1+$Q$107))</f>
        <v>0</v>
      </c>
    </row>
    <row r="12" spans="2:53" ht="15">
      <c r="B12" s="24" t="s">
        <v>69</v>
      </c>
      <c r="C12" s="29" t="s">
        <v>70</v>
      </c>
      <c r="D12" s="25"/>
      <c r="E12" s="26"/>
      <c r="F12" s="26"/>
      <c r="G12" s="27"/>
      <c r="H12" s="25"/>
      <c r="I12" s="21">
        <f>'Green+Social Interface'!$O$6</f>
        <v>0.07</v>
      </c>
      <c r="K12" s="28"/>
      <c r="L12" s="28"/>
      <c r="M12" s="30"/>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row>
    <row r="13" spans="1:53" ht="15">
      <c r="A13" s="118" t="s">
        <v>220</v>
      </c>
      <c r="B13" s="24" t="s">
        <v>5</v>
      </c>
      <c r="C13" s="29" t="s">
        <v>10</v>
      </c>
      <c r="D13" s="25" t="s">
        <v>71</v>
      </c>
      <c r="E13" s="26">
        <f>IF('Green+Social Interface'!I18&gt;0,(0.535*(Q87-(Q87*$Q$103))*52)-(0.375*(Q87-(Q87*$Q$103))*52),0)</f>
        <v>0</v>
      </c>
      <c r="F13" s="18">
        <f>E13*VLOOKUP('Green+Social Interface'!$I$38,'Look-ups'!$A$15:$B$43,2,0)</f>
        <v>0</v>
      </c>
      <c r="G13" s="27">
        <v>1</v>
      </c>
      <c r="H13" s="27">
        <f>IF(H143&gt;0,'Green+Social Interface'!$I$18*(1-($H$137/$H$143)),0)</f>
        <v>0</v>
      </c>
      <c r="I13" s="21">
        <f>1-('Green+Social Interface'!$O$11)</f>
        <v>1</v>
      </c>
      <c r="J13" s="22"/>
      <c r="K13" s="32">
        <f aca="true" t="shared" si="3" ref="K13:K42">IF(AND(L13&gt;0,$B$85&gt;0),L13/$B$85,0)</f>
        <v>0</v>
      </c>
      <c r="L13" s="32">
        <f aca="true" t="shared" si="4" ref="L13:L48">AVERAGE(N13:BA13)</f>
        <v>0</v>
      </c>
      <c r="M13" s="152">
        <f aca="true" t="shared" si="5" ref="M13:M48">SUM(N13:BA13)</f>
        <v>0</v>
      </c>
      <c r="N13" s="33">
        <f>H13*G13*F13*I13</f>
        <v>0</v>
      </c>
      <c r="O13" s="33">
        <f>N13*(1+'Green+Social Interface'!$I$35)</f>
        <v>0</v>
      </c>
      <c r="P13" s="33">
        <f>O13*(1+'Green+Social Interface'!$I$35)</f>
        <v>0</v>
      </c>
      <c r="Q13" s="33">
        <f>P13*(1+'Green+Social Interface'!$I$35)</f>
        <v>0</v>
      </c>
      <c r="R13" s="33">
        <f>Q13*(1+'Green+Social Interface'!$I$35)</f>
        <v>0</v>
      </c>
      <c r="S13" s="33">
        <f>R13*(1+'Green+Social Interface'!$I$35)</f>
        <v>0</v>
      </c>
      <c r="T13" s="33">
        <f>S13*(1+'Green+Social Interface'!$I$35)</f>
        <v>0</v>
      </c>
      <c r="U13" s="33">
        <f>T13*(1+'Green+Social Interface'!$I$35)</f>
        <v>0</v>
      </c>
      <c r="V13" s="33">
        <f>U13*(1+'Green+Social Interface'!$I$35)</f>
        <v>0</v>
      </c>
      <c r="W13" s="33">
        <f>V13*(1+'Green+Social Interface'!$I$35)</f>
        <v>0</v>
      </c>
      <c r="X13" s="33">
        <f>W13*(1+'Green+Social Interface'!$I$35)</f>
        <v>0</v>
      </c>
      <c r="Y13" s="33">
        <f>X13*(1+'Green+Social Interface'!$I$35)</f>
        <v>0</v>
      </c>
      <c r="Z13" s="33">
        <f>Y13*(1+'Green+Social Interface'!$I$35)</f>
        <v>0</v>
      </c>
      <c r="AA13" s="33">
        <f>Z13*(1+'Green+Social Interface'!$I$35)</f>
        <v>0</v>
      </c>
      <c r="AB13" s="33">
        <f>AA13*(1+'Green+Social Interface'!$I$35)</f>
        <v>0</v>
      </c>
      <c r="AC13" s="33">
        <f>AB13*(1+'Green+Social Interface'!$I$35)</f>
        <v>0</v>
      </c>
      <c r="AD13" s="33">
        <f>AC13*(1+'Green+Social Interface'!$I$35)</f>
        <v>0</v>
      </c>
      <c r="AE13" s="33">
        <f>AD13*(1+'Green+Social Interface'!$I$35)</f>
        <v>0</v>
      </c>
      <c r="AF13" s="33">
        <f>AE13*(1+'Green+Social Interface'!$I$35)</f>
        <v>0</v>
      </c>
      <c r="AG13" s="33">
        <f>AF13*(1+'Green+Social Interface'!$I$35)</f>
        <v>0</v>
      </c>
      <c r="AH13" s="33">
        <f>AG13*(1+'Green+Social Interface'!$I$35)</f>
        <v>0</v>
      </c>
      <c r="AI13" s="33">
        <f>AH13*(1+'Green+Social Interface'!$I$35)</f>
        <v>0</v>
      </c>
      <c r="AJ13" s="33">
        <f>AI13*(1+'Green+Social Interface'!$I$35)</f>
        <v>0</v>
      </c>
      <c r="AK13" s="33">
        <f>AJ13*(1+'Green+Social Interface'!$I$35)</f>
        <v>0</v>
      </c>
      <c r="AL13" s="33">
        <f>AK13*(1+'Green+Social Interface'!$I$35)</f>
        <v>0</v>
      </c>
      <c r="AM13" s="33">
        <f>AL13*(1+'Green+Social Interface'!$I$35)</f>
        <v>0</v>
      </c>
      <c r="AN13" s="33">
        <f>AM13*(1+'Green+Social Interface'!$I$35)</f>
        <v>0</v>
      </c>
      <c r="AO13" s="33">
        <f>AN13*(1+'Green+Social Interface'!$I$35)</f>
        <v>0</v>
      </c>
      <c r="AP13" s="33">
        <f>AO13*(1+'Green+Social Interface'!$I$35)</f>
        <v>0</v>
      </c>
      <c r="AQ13" s="33">
        <f>AP13*(1+'Green+Social Interface'!$I$35)</f>
        <v>0</v>
      </c>
      <c r="AR13" s="33">
        <f>AQ13*(1+'Green+Social Interface'!$I$35)</f>
        <v>0</v>
      </c>
      <c r="AS13" s="33">
        <f>AR13*(1+'Green+Social Interface'!$I$35)</f>
        <v>0</v>
      </c>
      <c r="AT13" s="33">
        <f>AS13*(1+'Green+Social Interface'!$I$35)</f>
        <v>0</v>
      </c>
      <c r="AU13" s="33">
        <f>AT13*(1+'Green+Social Interface'!$I$35)</f>
        <v>0</v>
      </c>
      <c r="AV13" s="33">
        <f>AU13*(1+'Green+Social Interface'!$I$35)</f>
        <v>0</v>
      </c>
      <c r="AW13" s="33">
        <f>AV13*(1+'Green+Social Interface'!$I$35)</f>
        <v>0</v>
      </c>
      <c r="AX13" s="33">
        <f>AW13*(1+'Green+Social Interface'!$I$35)</f>
        <v>0</v>
      </c>
      <c r="AY13" s="33">
        <f>AX13*(1+'Green+Social Interface'!$I$35)</f>
        <v>0</v>
      </c>
      <c r="AZ13" s="33">
        <f>AY13*(1+'Green+Social Interface'!$I$35)</f>
        <v>0</v>
      </c>
      <c r="BA13" s="33">
        <f>AZ13*(1+'Green+Social Interface'!$I$35)</f>
        <v>0</v>
      </c>
    </row>
    <row r="14" spans="1:53" ht="15">
      <c r="A14" s="118"/>
      <c r="B14" s="24"/>
      <c r="C14" s="25" t="s">
        <v>6</v>
      </c>
      <c r="D14" s="25" t="s">
        <v>71</v>
      </c>
      <c r="E14" s="26">
        <f>IF('Green+Social Interface'!I19&gt;0,(0.535*(Q88-(Q88*$Q$103))*52)-(0.375*(Q88-(Q88*$Q$103))*52),0)</f>
        <v>0</v>
      </c>
      <c r="F14" s="18">
        <f>E14*VLOOKUP('Green+Social Interface'!$I$38,'Look-ups'!$A$15:$B$43,2,0)</f>
        <v>0</v>
      </c>
      <c r="G14" s="27">
        <v>1</v>
      </c>
      <c r="H14" s="27">
        <f>IF(H143&gt;0,'Green+Social Interface'!$I$19*(1-($H$137/$H$143)),0)</f>
        <v>0</v>
      </c>
      <c r="I14" s="21">
        <f>1-('Green+Social Interface'!$O$11)</f>
        <v>1</v>
      </c>
      <c r="J14" s="22"/>
      <c r="K14" s="32">
        <f t="shared" si="3"/>
        <v>0</v>
      </c>
      <c r="L14" s="32">
        <f t="shared" si="4"/>
        <v>0</v>
      </c>
      <c r="M14" s="152">
        <f t="shared" si="5"/>
        <v>0</v>
      </c>
      <c r="N14" s="33">
        <f>H14*G14*F14*I14</f>
        <v>0</v>
      </c>
      <c r="O14" s="33">
        <f>N14*(1+'Green+Social Interface'!$I$35)</f>
        <v>0</v>
      </c>
      <c r="P14" s="33">
        <f>O14*(1+'Green+Social Interface'!$I$35)</f>
        <v>0</v>
      </c>
      <c r="Q14" s="33">
        <f>P14*(1+'Green+Social Interface'!$I$35)</f>
        <v>0</v>
      </c>
      <c r="R14" s="33">
        <f>Q14*(1+'Green+Social Interface'!$I$35)</f>
        <v>0</v>
      </c>
      <c r="S14" s="33">
        <f>R14*(1+'Green+Social Interface'!$I$35)</f>
        <v>0</v>
      </c>
      <c r="T14" s="33">
        <f>S14*(1+'Green+Social Interface'!$I$35)</f>
        <v>0</v>
      </c>
      <c r="U14" s="33">
        <f>T14*(1+'Green+Social Interface'!$I$35)</f>
        <v>0</v>
      </c>
      <c r="V14" s="33">
        <f>U14*(1+'Green+Social Interface'!$I$35)</f>
        <v>0</v>
      </c>
      <c r="W14" s="33">
        <f>V14*(1+'Green+Social Interface'!$I$35)</f>
        <v>0</v>
      </c>
      <c r="X14" s="33">
        <f>W14*(1+'Green+Social Interface'!$I$35)</f>
        <v>0</v>
      </c>
      <c r="Y14" s="33">
        <f>X14*(1+'Green+Social Interface'!$I$35)</f>
        <v>0</v>
      </c>
      <c r="Z14" s="33">
        <f>Y14*(1+'Green+Social Interface'!$I$35)</f>
        <v>0</v>
      </c>
      <c r="AA14" s="33">
        <f>Z14*(1+'Green+Social Interface'!$I$35)</f>
        <v>0</v>
      </c>
      <c r="AB14" s="33">
        <f>AA14*(1+'Green+Social Interface'!$I$35)</f>
        <v>0</v>
      </c>
      <c r="AC14" s="33">
        <f>AB14*(1+'Green+Social Interface'!$I$35)</f>
        <v>0</v>
      </c>
      <c r="AD14" s="33">
        <f>AC14*(1+'Green+Social Interface'!$I$35)</f>
        <v>0</v>
      </c>
      <c r="AE14" s="33">
        <f>AD14*(1+'Green+Social Interface'!$I$35)</f>
        <v>0</v>
      </c>
      <c r="AF14" s="33">
        <f>AE14*(1+'Green+Social Interface'!$I$35)</f>
        <v>0</v>
      </c>
      <c r="AG14" s="33">
        <f>AF14*(1+'Green+Social Interface'!$I$35)</f>
        <v>0</v>
      </c>
      <c r="AH14" s="33">
        <f>AG14*(1+'Green+Social Interface'!$I$35)</f>
        <v>0</v>
      </c>
      <c r="AI14" s="33">
        <f>AH14*(1+'Green+Social Interface'!$I$35)</f>
        <v>0</v>
      </c>
      <c r="AJ14" s="33">
        <f>AI14*(1+'Green+Social Interface'!$I$35)</f>
        <v>0</v>
      </c>
      <c r="AK14" s="33">
        <f>AJ14*(1+'Green+Social Interface'!$I$35)</f>
        <v>0</v>
      </c>
      <c r="AL14" s="33">
        <f>AK14*(1+'Green+Social Interface'!$I$35)</f>
        <v>0</v>
      </c>
      <c r="AM14" s="33">
        <f>AL14*(1+'Green+Social Interface'!$I$35)</f>
        <v>0</v>
      </c>
      <c r="AN14" s="33">
        <f>AM14*(1+'Green+Social Interface'!$I$35)</f>
        <v>0</v>
      </c>
      <c r="AO14" s="33">
        <f>AN14*(1+'Green+Social Interface'!$I$35)</f>
        <v>0</v>
      </c>
      <c r="AP14" s="33">
        <f>AO14*(1+'Green+Social Interface'!$I$35)</f>
        <v>0</v>
      </c>
      <c r="AQ14" s="33">
        <f>AP14*(1+'Green+Social Interface'!$I$35)</f>
        <v>0</v>
      </c>
      <c r="AR14" s="33">
        <f>AQ14*(1+'Green+Social Interface'!$I$35)</f>
        <v>0</v>
      </c>
      <c r="AS14" s="33">
        <f>AR14*(1+'Green+Social Interface'!$I$35)</f>
        <v>0</v>
      </c>
      <c r="AT14" s="33">
        <f>AS14*(1+'Green+Social Interface'!$I$35)</f>
        <v>0</v>
      </c>
      <c r="AU14" s="33">
        <f>AT14*(1+'Green+Social Interface'!$I$35)</f>
        <v>0</v>
      </c>
      <c r="AV14" s="33">
        <f>AU14*(1+'Green+Social Interface'!$I$35)</f>
        <v>0</v>
      </c>
      <c r="AW14" s="33">
        <f>AV14*(1+'Green+Social Interface'!$I$35)</f>
        <v>0</v>
      </c>
      <c r="AX14" s="33">
        <f>AW14*(1+'Green+Social Interface'!$I$35)</f>
        <v>0</v>
      </c>
      <c r="AY14" s="33">
        <f>AX14*(1+'Green+Social Interface'!$I$35)</f>
        <v>0</v>
      </c>
      <c r="AZ14" s="33">
        <f>AY14*(1+'Green+Social Interface'!$I$35)</f>
        <v>0</v>
      </c>
      <c r="BA14" s="33">
        <f>AZ14*(1+'Green+Social Interface'!$I$35)</f>
        <v>0</v>
      </c>
    </row>
    <row r="15" spans="1:53" ht="15">
      <c r="A15" s="118"/>
      <c r="B15" s="24"/>
      <c r="C15" s="25" t="s">
        <v>7</v>
      </c>
      <c r="D15" s="25" t="s">
        <v>71</v>
      </c>
      <c r="E15" s="26">
        <f>IF('Green+Social Interface'!I20&gt;0,(0.535*(Q89-(Q89*$Q$103))*52)-(0.375*(Q89-(Q89*$Q$103))*52),0)</f>
        <v>0</v>
      </c>
      <c r="F15" s="18">
        <f>E15*VLOOKUP('Green+Social Interface'!$I$38,'Look-ups'!$A$15:$B$43,2,0)</f>
        <v>0</v>
      </c>
      <c r="G15" s="27">
        <v>1</v>
      </c>
      <c r="H15" s="27">
        <f>IF(H143&gt;0,'Green+Social Interface'!$I$20*(1-($H$137/$H$143)),0)</f>
        <v>0</v>
      </c>
      <c r="I15" s="21">
        <f>1-('Green+Social Interface'!$O$11)</f>
        <v>1</v>
      </c>
      <c r="J15" s="22"/>
      <c r="K15" s="32">
        <f t="shared" si="3"/>
        <v>0</v>
      </c>
      <c r="L15" s="32">
        <f t="shared" si="4"/>
        <v>0</v>
      </c>
      <c r="M15" s="152">
        <f t="shared" si="5"/>
        <v>0</v>
      </c>
      <c r="N15" s="33">
        <f aca="true" t="shared" si="6" ref="N15:N32">H15*G15*F15*I15</f>
        <v>0</v>
      </c>
      <c r="O15" s="33">
        <f>N15*(1+'Green+Social Interface'!$I$35)</f>
        <v>0</v>
      </c>
      <c r="P15" s="33">
        <f>O15*(1+'Green+Social Interface'!$I$35)</f>
        <v>0</v>
      </c>
      <c r="Q15" s="33">
        <f>P15*(1+'Green+Social Interface'!$I$35)</f>
        <v>0</v>
      </c>
      <c r="R15" s="33">
        <f>Q15*(1+'Green+Social Interface'!$I$35)</f>
        <v>0</v>
      </c>
      <c r="S15" s="33">
        <f>R15*(1+'Green+Social Interface'!$I$35)</f>
        <v>0</v>
      </c>
      <c r="T15" s="33">
        <f>S15*(1+'Green+Social Interface'!$I$35)</f>
        <v>0</v>
      </c>
      <c r="U15" s="33">
        <f>T15*(1+'Green+Social Interface'!$I$35)</f>
        <v>0</v>
      </c>
      <c r="V15" s="33">
        <f>U15*(1+'Green+Social Interface'!$I$35)</f>
        <v>0</v>
      </c>
      <c r="W15" s="33">
        <f>V15*(1+'Green+Social Interface'!$I$35)</f>
        <v>0</v>
      </c>
      <c r="X15" s="33">
        <f>W15*(1+'Green+Social Interface'!$I$35)</f>
        <v>0</v>
      </c>
      <c r="Y15" s="33">
        <f>X15*(1+'Green+Social Interface'!$I$35)</f>
        <v>0</v>
      </c>
      <c r="Z15" s="33">
        <f>Y15*(1+'Green+Social Interface'!$I$35)</f>
        <v>0</v>
      </c>
      <c r="AA15" s="33">
        <f>Z15*(1+'Green+Social Interface'!$I$35)</f>
        <v>0</v>
      </c>
      <c r="AB15" s="33">
        <f>AA15*(1+'Green+Social Interface'!$I$35)</f>
        <v>0</v>
      </c>
      <c r="AC15" s="33">
        <f>AB15*(1+'Green+Social Interface'!$I$35)</f>
        <v>0</v>
      </c>
      <c r="AD15" s="33">
        <f>AC15*(1+'Green+Social Interface'!$I$35)</f>
        <v>0</v>
      </c>
      <c r="AE15" s="33">
        <f>AD15*(1+'Green+Social Interface'!$I$35)</f>
        <v>0</v>
      </c>
      <c r="AF15" s="33">
        <f>AE15*(1+'Green+Social Interface'!$I$35)</f>
        <v>0</v>
      </c>
      <c r="AG15" s="33">
        <f>AF15*(1+'Green+Social Interface'!$I$35)</f>
        <v>0</v>
      </c>
      <c r="AH15" s="33">
        <f>AG15*(1+'Green+Social Interface'!$I$35)</f>
        <v>0</v>
      </c>
      <c r="AI15" s="33">
        <f>AH15*(1+'Green+Social Interface'!$I$35)</f>
        <v>0</v>
      </c>
      <c r="AJ15" s="33">
        <f>AI15*(1+'Green+Social Interface'!$I$35)</f>
        <v>0</v>
      </c>
      <c r="AK15" s="33">
        <f>AJ15*(1+'Green+Social Interface'!$I$35)</f>
        <v>0</v>
      </c>
      <c r="AL15" s="33">
        <f>AK15*(1+'Green+Social Interface'!$I$35)</f>
        <v>0</v>
      </c>
      <c r="AM15" s="33">
        <f>AL15*(1+'Green+Social Interface'!$I$35)</f>
        <v>0</v>
      </c>
      <c r="AN15" s="33">
        <f>AM15*(1+'Green+Social Interface'!$I$35)</f>
        <v>0</v>
      </c>
      <c r="AO15" s="33">
        <f>AN15*(1+'Green+Social Interface'!$I$35)</f>
        <v>0</v>
      </c>
      <c r="AP15" s="33">
        <f>AO15*(1+'Green+Social Interface'!$I$35)</f>
        <v>0</v>
      </c>
      <c r="AQ15" s="33">
        <f>AP15*(1+'Green+Social Interface'!$I$35)</f>
        <v>0</v>
      </c>
      <c r="AR15" s="33">
        <f>AQ15*(1+'Green+Social Interface'!$I$35)</f>
        <v>0</v>
      </c>
      <c r="AS15" s="33">
        <f>AR15*(1+'Green+Social Interface'!$I$35)</f>
        <v>0</v>
      </c>
      <c r="AT15" s="33">
        <f>AS15*(1+'Green+Social Interface'!$I$35)</f>
        <v>0</v>
      </c>
      <c r="AU15" s="33">
        <f>AT15*(1+'Green+Social Interface'!$I$35)</f>
        <v>0</v>
      </c>
      <c r="AV15" s="33">
        <f>AU15*(1+'Green+Social Interface'!$I$35)</f>
        <v>0</v>
      </c>
      <c r="AW15" s="33">
        <f>AV15*(1+'Green+Social Interface'!$I$35)</f>
        <v>0</v>
      </c>
      <c r="AX15" s="33">
        <f>AW15*(1+'Green+Social Interface'!$I$35)</f>
        <v>0</v>
      </c>
      <c r="AY15" s="33">
        <f>AX15*(1+'Green+Social Interface'!$I$35)</f>
        <v>0</v>
      </c>
      <c r="AZ15" s="33">
        <f>AY15*(1+'Green+Social Interface'!$I$35)</f>
        <v>0</v>
      </c>
      <c r="BA15" s="33">
        <f>AZ15*(1+'Green+Social Interface'!$I$35)</f>
        <v>0</v>
      </c>
    </row>
    <row r="16" spans="1:53" ht="15">
      <c r="A16" s="118"/>
      <c r="B16" s="24"/>
      <c r="C16" s="25" t="s">
        <v>8</v>
      </c>
      <c r="D16" s="25" t="s">
        <v>71</v>
      </c>
      <c r="E16" s="26">
        <f>IF('Green+Social Interface'!I21&gt;0,(0.535*(Q90-(Q90*$Q$103))*52)-(0.375*(Q90-(Q90*$Q$103))*52),0)</f>
        <v>0</v>
      </c>
      <c r="F16" s="18">
        <f>E16*VLOOKUP('Green+Social Interface'!$I$38,'Look-ups'!$A$15:$B$43,2,0)</f>
        <v>0</v>
      </c>
      <c r="G16" s="27">
        <v>1</v>
      </c>
      <c r="H16" s="27">
        <f>IF(H143&gt;0,'Green+Social Interface'!$I$21*(1-($H$137/$H$143)),0)</f>
        <v>0</v>
      </c>
      <c r="I16" s="21">
        <f>1-('Green+Social Interface'!$O$11)</f>
        <v>1</v>
      </c>
      <c r="J16" s="22"/>
      <c r="K16" s="32">
        <f t="shared" si="3"/>
        <v>0</v>
      </c>
      <c r="L16" s="32">
        <f t="shared" si="4"/>
        <v>0</v>
      </c>
      <c r="M16" s="152">
        <f t="shared" si="5"/>
        <v>0</v>
      </c>
      <c r="N16" s="33">
        <f t="shared" si="6"/>
        <v>0</v>
      </c>
      <c r="O16" s="33">
        <f>N16*(1+'Green+Social Interface'!$I$35)</f>
        <v>0</v>
      </c>
      <c r="P16" s="33">
        <f>O16*(1+'Green+Social Interface'!$I$35)</f>
        <v>0</v>
      </c>
      <c r="Q16" s="33">
        <f>P16*(1+'Green+Social Interface'!$I$35)</f>
        <v>0</v>
      </c>
      <c r="R16" s="33">
        <f>Q16*(1+'Green+Social Interface'!$I$35)</f>
        <v>0</v>
      </c>
      <c r="S16" s="33">
        <f>R16*(1+'Green+Social Interface'!$I$35)</f>
        <v>0</v>
      </c>
      <c r="T16" s="33">
        <f>S16*(1+'Green+Social Interface'!$I$35)</f>
        <v>0</v>
      </c>
      <c r="U16" s="33">
        <f>T16*(1+'Green+Social Interface'!$I$35)</f>
        <v>0</v>
      </c>
      <c r="V16" s="33">
        <f>U16*(1+'Green+Social Interface'!$I$35)</f>
        <v>0</v>
      </c>
      <c r="W16" s="33">
        <f>V16*(1+'Green+Social Interface'!$I$35)</f>
        <v>0</v>
      </c>
      <c r="X16" s="33">
        <f>W16*(1+'Green+Social Interface'!$I$35)</f>
        <v>0</v>
      </c>
      <c r="Y16" s="33">
        <f>X16*(1+'Green+Social Interface'!$I$35)</f>
        <v>0</v>
      </c>
      <c r="Z16" s="33">
        <f>Y16*(1+'Green+Social Interface'!$I$35)</f>
        <v>0</v>
      </c>
      <c r="AA16" s="33">
        <f>Z16*(1+'Green+Social Interface'!$I$35)</f>
        <v>0</v>
      </c>
      <c r="AB16" s="33">
        <f>AA16*(1+'Green+Social Interface'!$I$35)</f>
        <v>0</v>
      </c>
      <c r="AC16" s="33">
        <f>AB16*(1+'Green+Social Interface'!$I$35)</f>
        <v>0</v>
      </c>
      <c r="AD16" s="33">
        <f>AC16*(1+'Green+Social Interface'!$I$35)</f>
        <v>0</v>
      </c>
      <c r="AE16" s="33">
        <f>AD16*(1+'Green+Social Interface'!$I$35)</f>
        <v>0</v>
      </c>
      <c r="AF16" s="33">
        <f>AE16*(1+'Green+Social Interface'!$I$35)</f>
        <v>0</v>
      </c>
      <c r="AG16" s="33">
        <f>AF16*(1+'Green+Social Interface'!$I$35)</f>
        <v>0</v>
      </c>
      <c r="AH16" s="33">
        <f>AG16*(1+'Green+Social Interface'!$I$35)</f>
        <v>0</v>
      </c>
      <c r="AI16" s="33">
        <f>AH16*(1+'Green+Social Interface'!$I$35)</f>
        <v>0</v>
      </c>
      <c r="AJ16" s="33">
        <f>AI16*(1+'Green+Social Interface'!$I$35)</f>
        <v>0</v>
      </c>
      <c r="AK16" s="33">
        <f>AJ16*(1+'Green+Social Interface'!$I$35)</f>
        <v>0</v>
      </c>
      <c r="AL16" s="33">
        <f>AK16*(1+'Green+Social Interface'!$I$35)</f>
        <v>0</v>
      </c>
      <c r="AM16" s="33">
        <f>AL16*(1+'Green+Social Interface'!$I$35)</f>
        <v>0</v>
      </c>
      <c r="AN16" s="33">
        <f>AM16*(1+'Green+Social Interface'!$I$35)</f>
        <v>0</v>
      </c>
      <c r="AO16" s="33">
        <f>AN16*(1+'Green+Social Interface'!$I$35)</f>
        <v>0</v>
      </c>
      <c r="AP16" s="33">
        <f>AO16*(1+'Green+Social Interface'!$I$35)</f>
        <v>0</v>
      </c>
      <c r="AQ16" s="33">
        <f>AP16*(1+'Green+Social Interface'!$I$35)</f>
        <v>0</v>
      </c>
      <c r="AR16" s="33">
        <f>AQ16*(1+'Green+Social Interface'!$I$35)</f>
        <v>0</v>
      </c>
      <c r="AS16" s="33">
        <f>AR16*(1+'Green+Social Interface'!$I$35)</f>
        <v>0</v>
      </c>
      <c r="AT16" s="33">
        <f>AS16*(1+'Green+Social Interface'!$I$35)</f>
        <v>0</v>
      </c>
      <c r="AU16" s="33">
        <f>AT16*(1+'Green+Social Interface'!$I$35)</f>
        <v>0</v>
      </c>
      <c r="AV16" s="33">
        <f>AU16*(1+'Green+Social Interface'!$I$35)</f>
        <v>0</v>
      </c>
      <c r="AW16" s="33">
        <f>AV16*(1+'Green+Social Interface'!$I$35)</f>
        <v>0</v>
      </c>
      <c r="AX16" s="33">
        <f>AW16*(1+'Green+Social Interface'!$I$35)</f>
        <v>0</v>
      </c>
      <c r="AY16" s="33">
        <f>AX16*(1+'Green+Social Interface'!$I$35)</f>
        <v>0</v>
      </c>
      <c r="AZ16" s="33">
        <f>AY16*(1+'Green+Social Interface'!$I$35)</f>
        <v>0</v>
      </c>
      <c r="BA16" s="33">
        <f>AZ16*(1+'Green+Social Interface'!$I$35)</f>
        <v>0</v>
      </c>
    </row>
    <row r="17" spans="1:53" ht="15">
      <c r="A17" s="118"/>
      <c r="B17" s="24"/>
      <c r="C17" s="25" t="s">
        <v>9</v>
      </c>
      <c r="D17" s="25" t="s">
        <v>71</v>
      </c>
      <c r="E17" s="26">
        <f>IF('Green+Social Interface'!I22&gt;0,(0.535*(Q91-(Q91*$Q$103))*52)-(0.375*(Q91-(Q91*$Q$103))*52),0)</f>
        <v>0</v>
      </c>
      <c r="F17" s="18">
        <f>E17*VLOOKUP('Green+Social Interface'!$I$38,'Look-ups'!$A$15:$B$43,2,0)</f>
        <v>0</v>
      </c>
      <c r="G17" s="27">
        <v>1</v>
      </c>
      <c r="H17" s="27">
        <f>IF(H143&gt;0,'Green+Social Interface'!$I$22*(1-($H$137/$H$143)),0)</f>
        <v>0</v>
      </c>
      <c r="I17" s="21">
        <f>1-('Green+Social Interface'!$O$11)</f>
        <v>1</v>
      </c>
      <c r="J17" s="22"/>
      <c r="K17" s="32">
        <f t="shared" si="3"/>
        <v>0</v>
      </c>
      <c r="L17" s="32">
        <f t="shared" si="4"/>
        <v>0</v>
      </c>
      <c r="M17" s="152">
        <f t="shared" si="5"/>
        <v>0</v>
      </c>
      <c r="N17" s="33">
        <f t="shared" si="6"/>
        <v>0</v>
      </c>
      <c r="O17" s="33">
        <f>N17*(1+'Green+Social Interface'!$I$35)</f>
        <v>0</v>
      </c>
      <c r="P17" s="33">
        <f>O17*(1+'Green+Social Interface'!$I$35)</f>
        <v>0</v>
      </c>
      <c r="Q17" s="33">
        <f>P17*(1+'Green+Social Interface'!$I$35)</f>
        <v>0</v>
      </c>
      <c r="R17" s="33">
        <f>Q17*(1+'Green+Social Interface'!$I$35)</f>
        <v>0</v>
      </c>
      <c r="S17" s="33">
        <f>R17*(1+'Green+Social Interface'!$I$35)</f>
        <v>0</v>
      </c>
      <c r="T17" s="33">
        <f>S17*(1+'Green+Social Interface'!$I$35)</f>
        <v>0</v>
      </c>
      <c r="U17" s="33">
        <f>T17*(1+'Green+Social Interface'!$I$35)</f>
        <v>0</v>
      </c>
      <c r="V17" s="33">
        <f>U17*(1+'Green+Social Interface'!$I$35)</f>
        <v>0</v>
      </c>
      <c r="W17" s="33">
        <f>V17*(1+'Green+Social Interface'!$I$35)</f>
        <v>0</v>
      </c>
      <c r="X17" s="33">
        <f>W17*(1+'Green+Social Interface'!$I$35)</f>
        <v>0</v>
      </c>
      <c r="Y17" s="33">
        <f>X17*(1+'Green+Social Interface'!$I$35)</f>
        <v>0</v>
      </c>
      <c r="Z17" s="33">
        <f>Y17*(1+'Green+Social Interface'!$I$35)</f>
        <v>0</v>
      </c>
      <c r="AA17" s="33">
        <f>Z17*(1+'Green+Social Interface'!$I$35)</f>
        <v>0</v>
      </c>
      <c r="AB17" s="33">
        <f>AA17*(1+'Green+Social Interface'!$I$35)</f>
        <v>0</v>
      </c>
      <c r="AC17" s="33">
        <f>AB17*(1+'Green+Social Interface'!$I$35)</f>
        <v>0</v>
      </c>
      <c r="AD17" s="33">
        <f>AC17*(1+'Green+Social Interface'!$I$35)</f>
        <v>0</v>
      </c>
      <c r="AE17" s="33">
        <f>AD17*(1+'Green+Social Interface'!$I$35)</f>
        <v>0</v>
      </c>
      <c r="AF17" s="33">
        <f>AE17*(1+'Green+Social Interface'!$I$35)</f>
        <v>0</v>
      </c>
      <c r="AG17" s="33">
        <f>AF17*(1+'Green+Social Interface'!$I$35)</f>
        <v>0</v>
      </c>
      <c r="AH17" s="33">
        <f>AG17*(1+'Green+Social Interface'!$I$35)</f>
        <v>0</v>
      </c>
      <c r="AI17" s="33">
        <f>AH17*(1+'Green+Social Interface'!$I$35)</f>
        <v>0</v>
      </c>
      <c r="AJ17" s="33">
        <f>AI17*(1+'Green+Social Interface'!$I$35)</f>
        <v>0</v>
      </c>
      <c r="AK17" s="33">
        <f>AJ17*(1+'Green+Social Interface'!$I$35)</f>
        <v>0</v>
      </c>
      <c r="AL17" s="33">
        <f>AK17*(1+'Green+Social Interface'!$I$35)</f>
        <v>0</v>
      </c>
      <c r="AM17" s="33">
        <f>AL17*(1+'Green+Social Interface'!$I$35)</f>
        <v>0</v>
      </c>
      <c r="AN17" s="33">
        <f>AM17*(1+'Green+Social Interface'!$I$35)</f>
        <v>0</v>
      </c>
      <c r="AO17" s="33">
        <f>AN17*(1+'Green+Social Interface'!$I$35)</f>
        <v>0</v>
      </c>
      <c r="AP17" s="33">
        <f>AO17*(1+'Green+Social Interface'!$I$35)</f>
        <v>0</v>
      </c>
      <c r="AQ17" s="33">
        <f>AP17*(1+'Green+Social Interface'!$I$35)</f>
        <v>0</v>
      </c>
      <c r="AR17" s="33">
        <f>AQ17*(1+'Green+Social Interface'!$I$35)</f>
        <v>0</v>
      </c>
      <c r="AS17" s="33">
        <f>AR17*(1+'Green+Social Interface'!$I$35)</f>
        <v>0</v>
      </c>
      <c r="AT17" s="33">
        <f>AS17*(1+'Green+Social Interface'!$I$35)</f>
        <v>0</v>
      </c>
      <c r="AU17" s="33">
        <f>AT17*(1+'Green+Social Interface'!$I$35)</f>
        <v>0</v>
      </c>
      <c r="AV17" s="33">
        <f>AU17*(1+'Green+Social Interface'!$I$35)</f>
        <v>0</v>
      </c>
      <c r="AW17" s="33">
        <f>AV17*(1+'Green+Social Interface'!$I$35)</f>
        <v>0</v>
      </c>
      <c r="AX17" s="33">
        <f>AW17*(1+'Green+Social Interface'!$I$35)</f>
        <v>0</v>
      </c>
      <c r="AY17" s="33">
        <f>AX17*(1+'Green+Social Interface'!$I$35)</f>
        <v>0</v>
      </c>
      <c r="AZ17" s="33">
        <f>AY17*(1+'Green+Social Interface'!$I$35)</f>
        <v>0</v>
      </c>
      <c r="BA17" s="33">
        <f>AZ17*(1+'Green+Social Interface'!$I$35)</f>
        <v>0</v>
      </c>
    </row>
    <row r="18" spans="1:54" ht="15">
      <c r="A18" s="118" t="s">
        <v>220</v>
      </c>
      <c r="B18" s="24" t="s">
        <v>136</v>
      </c>
      <c r="C18" s="25" t="s">
        <v>6</v>
      </c>
      <c r="D18" s="25" t="s">
        <v>71</v>
      </c>
      <c r="E18" s="26">
        <f>IF('Green+Social Interface'!D18&gt;0,(0.535*(Q93-(Q93*$Q$103))*52)-(0.375*(Q93-(Q93*$Q$103))*52),0)</f>
        <v>0</v>
      </c>
      <c r="F18" s="18">
        <f>E18*VLOOKUP('Green+Social Interface'!$I$38,'Look-ups'!$A$15:$B$43,2,0)</f>
        <v>0</v>
      </c>
      <c r="G18" s="27">
        <v>1</v>
      </c>
      <c r="H18" s="27">
        <f>IF(H143&gt;0,'Green+Social Interface'!$D$18*(1-($H$137/$H$143)),0)</f>
        <v>0</v>
      </c>
      <c r="I18" s="21">
        <f>1-('Green+Social Interface'!$O$11)</f>
        <v>1</v>
      </c>
      <c r="J18" s="22"/>
      <c r="K18" s="32">
        <f t="shared" si="3"/>
        <v>0</v>
      </c>
      <c r="L18" s="32">
        <f t="shared" si="4"/>
        <v>0</v>
      </c>
      <c r="M18" s="152">
        <f t="shared" si="5"/>
        <v>0</v>
      </c>
      <c r="N18" s="33">
        <f t="shared" si="6"/>
        <v>0</v>
      </c>
      <c r="O18" s="33">
        <f>N18*(1+'Green+Social Interface'!$I$35)</f>
        <v>0</v>
      </c>
      <c r="P18" s="33">
        <f>O18*(1+'Green+Social Interface'!$I$35)</f>
        <v>0</v>
      </c>
      <c r="Q18" s="33">
        <f>P18*(1+'Green+Social Interface'!$I$35)</f>
        <v>0</v>
      </c>
      <c r="R18" s="33">
        <f>Q18*(1+'Green+Social Interface'!$I$35)</f>
        <v>0</v>
      </c>
      <c r="S18" s="33">
        <f>R18*(1+'Green+Social Interface'!$I$35)</f>
        <v>0</v>
      </c>
      <c r="T18" s="33">
        <f>S18*(1+'Green+Social Interface'!$I$35)</f>
        <v>0</v>
      </c>
      <c r="U18" s="33">
        <f>T18*(1+'Green+Social Interface'!$I$35)</f>
        <v>0</v>
      </c>
      <c r="V18" s="33">
        <f>U18*(1+'Green+Social Interface'!$I$35)</f>
        <v>0</v>
      </c>
      <c r="W18" s="33">
        <f>V18*(1+'Green+Social Interface'!$I$35)</f>
        <v>0</v>
      </c>
      <c r="X18" s="33">
        <f>W18*(1+'Green+Social Interface'!$I$35)</f>
        <v>0</v>
      </c>
      <c r="Y18" s="33">
        <f>X18*(1+'Green+Social Interface'!$I$35)</f>
        <v>0</v>
      </c>
      <c r="Z18" s="33">
        <f>Y18*(1+'Green+Social Interface'!$I$35)</f>
        <v>0</v>
      </c>
      <c r="AA18" s="33">
        <f>Z18*(1+'Green+Social Interface'!$I$35)</f>
        <v>0</v>
      </c>
      <c r="AB18" s="33">
        <f>AA18*(1+'Green+Social Interface'!$I$35)</f>
        <v>0</v>
      </c>
      <c r="AC18" s="33">
        <f>AB18*(1+'Green+Social Interface'!$I$35)</f>
        <v>0</v>
      </c>
      <c r="AD18" s="33">
        <f>AC18*(1+'Green+Social Interface'!$I$35)</f>
        <v>0</v>
      </c>
      <c r="AE18" s="33">
        <f>AD18*(1+'Green+Social Interface'!$I$35)</f>
        <v>0</v>
      </c>
      <c r="AF18" s="33">
        <f>AE18*(1+'Green+Social Interface'!$I$35)</f>
        <v>0</v>
      </c>
      <c r="AG18" s="33">
        <f>AF18*(1+'Green+Social Interface'!$I$35)</f>
        <v>0</v>
      </c>
      <c r="AH18" s="33">
        <f>AG18*(1+'Green+Social Interface'!$I$35)</f>
        <v>0</v>
      </c>
      <c r="AI18" s="33">
        <f>AH18*(1+'Green+Social Interface'!$I$35)</f>
        <v>0</v>
      </c>
      <c r="AJ18" s="33">
        <f>AI18*(1+'Green+Social Interface'!$I$35)</f>
        <v>0</v>
      </c>
      <c r="AK18" s="33">
        <f>AJ18*(1+'Green+Social Interface'!$I$35)</f>
        <v>0</v>
      </c>
      <c r="AL18" s="33">
        <f>AK18*(1+'Green+Social Interface'!$I$35)</f>
        <v>0</v>
      </c>
      <c r="AM18" s="33">
        <f>AL18*(1+'Green+Social Interface'!$I$35)</f>
        <v>0</v>
      </c>
      <c r="AN18" s="33">
        <f>AM18*(1+'Green+Social Interface'!$I$35)</f>
        <v>0</v>
      </c>
      <c r="AO18" s="33">
        <f>AN18*(1+'Green+Social Interface'!$I$35)</f>
        <v>0</v>
      </c>
      <c r="AP18" s="33">
        <f>AO18*(1+'Green+Social Interface'!$I$35)</f>
        <v>0</v>
      </c>
      <c r="AQ18" s="33">
        <f>AP18*(1+'Green+Social Interface'!$I$35)</f>
        <v>0</v>
      </c>
      <c r="AR18" s="33">
        <f>AQ18*(1+'Green+Social Interface'!$I$35)</f>
        <v>0</v>
      </c>
      <c r="AS18" s="33">
        <f>AR18*(1+'Green+Social Interface'!$I$35)</f>
        <v>0</v>
      </c>
      <c r="AT18" s="33">
        <f>AS18*(1+'Green+Social Interface'!$I$35)</f>
        <v>0</v>
      </c>
      <c r="AU18" s="33">
        <f>AT18*(1+'Green+Social Interface'!$I$35)</f>
        <v>0</v>
      </c>
      <c r="AV18" s="33">
        <f>AU18*(1+'Green+Social Interface'!$I$35)</f>
        <v>0</v>
      </c>
      <c r="AW18" s="33">
        <f>AV18*(1+'Green+Social Interface'!$I$35)</f>
        <v>0</v>
      </c>
      <c r="AX18" s="33">
        <f>AW18*(1+'Green+Social Interface'!$I$35)</f>
        <v>0</v>
      </c>
      <c r="AY18" s="33">
        <f>AX18*(1+'Green+Social Interface'!$I$35)</f>
        <v>0</v>
      </c>
      <c r="AZ18" s="33">
        <f>AY18*(1+'Green+Social Interface'!$I$35)</f>
        <v>0</v>
      </c>
      <c r="BA18" s="33">
        <f>AZ18*(1+'Green+Social Interface'!$I$35)</f>
        <v>0</v>
      </c>
      <c r="BB18" t="s">
        <v>577</v>
      </c>
    </row>
    <row r="19" spans="1:53" ht="15">
      <c r="A19" s="118"/>
      <c r="B19" s="24"/>
      <c r="C19" s="25" t="s">
        <v>7</v>
      </c>
      <c r="D19" s="25" t="s">
        <v>71</v>
      </c>
      <c r="E19" s="26">
        <f>IF('Green+Social Interface'!D19&gt;0,(0.535*(Q94-(Q94*$Q$103))*52)-(0.375*(Q94-(Q94*$Q$103))*52),0)</f>
        <v>0</v>
      </c>
      <c r="F19" s="18">
        <f>E19*VLOOKUP('Green+Social Interface'!$I$38,'Look-ups'!$A$15:$B$43,2,0)</f>
        <v>0</v>
      </c>
      <c r="G19" s="27">
        <v>1</v>
      </c>
      <c r="H19" s="27">
        <f>IF(H143&gt;0,'Green+Social Interface'!$D$19*(1-($H$137/$H$143)),0)</f>
        <v>0</v>
      </c>
      <c r="I19" s="21">
        <f>1-('Green+Social Interface'!$O$11)</f>
        <v>1</v>
      </c>
      <c r="J19" s="22"/>
      <c r="K19" s="32">
        <f t="shared" si="3"/>
        <v>0</v>
      </c>
      <c r="L19" s="32">
        <f t="shared" si="4"/>
        <v>0</v>
      </c>
      <c r="M19" s="152">
        <f t="shared" si="5"/>
        <v>0</v>
      </c>
      <c r="N19" s="33">
        <f t="shared" si="6"/>
        <v>0</v>
      </c>
      <c r="O19" s="33">
        <f>N19*(1+'Green+Social Interface'!$I$35)</f>
        <v>0</v>
      </c>
      <c r="P19" s="33">
        <f>O19*(1+'Green+Social Interface'!$I$35)</f>
        <v>0</v>
      </c>
      <c r="Q19" s="33">
        <f>P19*(1+'Green+Social Interface'!$I$35)</f>
        <v>0</v>
      </c>
      <c r="R19" s="33">
        <f>Q19*(1+'Green+Social Interface'!$I$35)</f>
        <v>0</v>
      </c>
      <c r="S19" s="33">
        <f>R19*(1+'Green+Social Interface'!$I$35)</f>
        <v>0</v>
      </c>
      <c r="T19" s="33">
        <f>S19*(1+'Green+Social Interface'!$I$35)</f>
        <v>0</v>
      </c>
      <c r="U19" s="33">
        <f>T19*(1+'Green+Social Interface'!$I$35)</f>
        <v>0</v>
      </c>
      <c r="V19" s="33">
        <f>U19*(1+'Green+Social Interface'!$I$35)</f>
        <v>0</v>
      </c>
      <c r="W19" s="33">
        <f>V19*(1+'Green+Social Interface'!$I$35)</f>
        <v>0</v>
      </c>
      <c r="X19" s="33">
        <f>W19*(1+'Green+Social Interface'!$I$35)</f>
        <v>0</v>
      </c>
      <c r="Y19" s="33">
        <f>X19*(1+'Green+Social Interface'!$I$35)</f>
        <v>0</v>
      </c>
      <c r="Z19" s="33">
        <f>Y19*(1+'Green+Social Interface'!$I$35)</f>
        <v>0</v>
      </c>
      <c r="AA19" s="33">
        <f>Z19*(1+'Green+Social Interface'!$I$35)</f>
        <v>0</v>
      </c>
      <c r="AB19" s="33">
        <f>AA19*(1+'Green+Social Interface'!$I$35)</f>
        <v>0</v>
      </c>
      <c r="AC19" s="33">
        <f>AB19*(1+'Green+Social Interface'!$I$35)</f>
        <v>0</v>
      </c>
      <c r="AD19" s="33">
        <f>AC19*(1+'Green+Social Interface'!$I$35)</f>
        <v>0</v>
      </c>
      <c r="AE19" s="33">
        <f>AD19*(1+'Green+Social Interface'!$I$35)</f>
        <v>0</v>
      </c>
      <c r="AF19" s="33">
        <f>AE19*(1+'Green+Social Interface'!$I$35)</f>
        <v>0</v>
      </c>
      <c r="AG19" s="33">
        <f>AF19*(1+'Green+Social Interface'!$I$35)</f>
        <v>0</v>
      </c>
      <c r="AH19" s="33">
        <f>AG19*(1+'Green+Social Interface'!$I$35)</f>
        <v>0</v>
      </c>
      <c r="AI19" s="33">
        <f>AH19*(1+'Green+Social Interface'!$I$35)</f>
        <v>0</v>
      </c>
      <c r="AJ19" s="33">
        <f>AI19*(1+'Green+Social Interface'!$I$35)</f>
        <v>0</v>
      </c>
      <c r="AK19" s="33">
        <f>AJ19*(1+'Green+Social Interface'!$I$35)</f>
        <v>0</v>
      </c>
      <c r="AL19" s="33">
        <f>AK19*(1+'Green+Social Interface'!$I$35)</f>
        <v>0</v>
      </c>
      <c r="AM19" s="33">
        <f>AL19*(1+'Green+Social Interface'!$I$35)</f>
        <v>0</v>
      </c>
      <c r="AN19" s="33">
        <f>AM19*(1+'Green+Social Interface'!$I$35)</f>
        <v>0</v>
      </c>
      <c r="AO19" s="33">
        <f>AN19*(1+'Green+Social Interface'!$I$35)</f>
        <v>0</v>
      </c>
      <c r="AP19" s="33">
        <f>AO19*(1+'Green+Social Interface'!$I$35)</f>
        <v>0</v>
      </c>
      <c r="AQ19" s="33">
        <f>AP19*(1+'Green+Social Interface'!$I$35)</f>
        <v>0</v>
      </c>
      <c r="AR19" s="33">
        <f>AQ19*(1+'Green+Social Interface'!$I$35)</f>
        <v>0</v>
      </c>
      <c r="AS19" s="33">
        <f>AR19*(1+'Green+Social Interface'!$I$35)</f>
        <v>0</v>
      </c>
      <c r="AT19" s="33">
        <f>AS19*(1+'Green+Social Interface'!$I$35)</f>
        <v>0</v>
      </c>
      <c r="AU19" s="33">
        <f>AT19*(1+'Green+Social Interface'!$I$35)</f>
        <v>0</v>
      </c>
      <c r="AV19" s="33">
        <f>AU19*(1+'Green+Social Interface'!$I$35)</f>
        <v>0</v>
      </c>
      <c r="AW19" s="33">
        <f>AV19*(1+'Green+Social Interface'!$I$35)</f>
        <v>0</v>
      </c>
      <c r="AX19" s="33">
        <f>AW19*(1+'Green+Social Interface'!$I$35)</f>
        <v>0</v>
      </c>
      <c r="AY19" s="33">
        <f>AX19*(1+'Green+Social Interface'!$I$35)</f>
        <v>0</v>
      </c>
      <c r="AZ19" s="33">
        <f>AY19*(1+'Green+Social Interface'!$I$35)</f>
        <v>0</v>
      </c>
      <c r="BA19" s="33">
        <f>AZ19*(1+'Green+Social Interface'!$I$35)</f>
        <v>0</v>
      </c>
    </row>
    <row r="20" spans="1:53" ht="15">
      <c r="A20" s="118"/>
      <c r="B20" s="24"/>
      <c r="C20" s="25" t="s">
        <v>8</v>
      </c>
      <c r="D20" s="25" t="s">
        <v>71</v>
      </c>
      <c r="E20" s="26">
        <f>IF('Green+Social Interface'!D20&gt;0,(0.535*(Q95-(Q95*$Q$103))*52)-(0.375*(Q95-(Q95*$Q$103))*52),0)</f>
        <v>0</v>
      </c>
      <c r="F20" s="18">
        <f>E20*VLOOKUP('Green+Social Interface'!$I$38,'Look-ups'!$A$15:$B$43,2,0)</f>
        <v>0</v>
      </c>
      <c r="G20" s="27">
        <v>1</v>
      </c>
      <c r="H20" s="27">
        <f>IF(H143&gt;0,'Green+Social Interface'!$D$20*(1-($H$137/$H$143)),0)</f>
        <v>0</v>
      </c>
      <c r="I20" s="21">
        <f>1-('Green+Social Interface'!$O$11)</f>
        <v>1</v>
      </c>
      <c r="J20" s="22"/>
      <c r="K20" s="32">
        <f t="shared" si="3"/>
        <v>0</v>
      </c>
      <c r="L20" s="32">
        <f t="shared" si="4"/>
        <v>0</v>
      </c>
      <c r="M20" s="152">
        <f t="shared" si="5"/>
        <v>0</v>
      </c>
      <c r="N20" s="33">
        <f t="shared" si="6"/>
        <v>0</v>
      </c>
      <c r="O20" s="33">
        <f>N20*(1+'Green+Social Interface'!$I$35)</f>
        <v>0</v>
      </c>
      <c r="P20" s="33">
        <f>O20*(1+'Green+Social Interface'!$I$35)</f>
        <v>0</v>
      </c>
      <c r="Q20" s="33">
        <f>P20*(1+'Green+Social Interface'!$I$35)</f>
        <v>0</v>
      </c>
      <c r="R20" s="33">
        <f>Q20*(1+'Green+Social Interface'!$I$35)</f>
        <v>0</v>
      </c>
      <c r="S20" s="33">
        <f>R20*(1+'Green+Social Interface'!$I$35)</f>
        <v>0</v>
      </c>
      <c r="T20" s="33">
        <f>S20*(1+'Green+Social Interface'!$I$35)</f>
        <v>0</v>
      </c>
      <c r="U20" s="33">
        <f>T20*(1+'Green+Social Interface'!$I$35)</f>
        <v>0</v>
      </c>
      <c r="V20" s="33">
        <f>U20*(1+'Green+Social Interface'!$I$35)</f>
        <v>0</v>
      </c>
      <c r="W20" s="33">
        <f>V20*(1+'Green+Social Interface'!$I$35)</f>
        <v>0</v>
      </c>
      <c r="X20" s="33">
        <f>W20*(1+'Green+Social Interface'!$I$35)</f>
        <v>0</v>
      </c>
      <c r="Y20" s="33">
        <f>X20*(1+'Green+Social Interface'!$I$35)</f>
        <v>0</v>
      </c>
      <c r="Z20" s="33">
        <f>Y20*(1+'Green+Social Interface'!$I$35)</f>
        <v>0</v>
      </c>
      <c r="AA20" s="33">
        <f>Z20*(1+'Green+Social Interface'!$I$35)</f>
        <v>0</v>
      </c>
      <c r="AB20" s="33">
        <f>AA20*(1+'Green+Social Interface'!$I$35)</f>
        <v>0</v>
      </c>
      <c r="AC20" s="33">
        <f>AB20*(1+'Green+Social Interface'!$I$35)</f>
        <v>0</v>
      </c>
      <c r="AD20" s="33">
        <f>AC20*(1+'Green+Social Interface'!$I$35)</f>
        <v>0</v>
      </c>
      <c r="AE20" s="33">
        <f>AD20*(1+'Green+Social Interface'!$I$35)</f>
        <v>0</v>
      </c>
      <c r="AF20" s="33">
        <f>AE20*(1+'Green+Social Interface'!$I$35)</f>
        <v>0</v>
      </c>
      <c r="AG20" s="33">
        <f>AF20*(1+'Green+Social Interface'!$I$35)</f>
        <v>0</v>
      </c>
      <c r="AH20" s="33">
        <f>AG20*(1+'Green+Social Interface'!$I$35)</f>
        <v>0</v>
      </c>
      <c r="AI20" s="33">
        <f>AH20*(1+'Green+Social Interface'!$I$35)</f>
        <v>0</v>
      </c>
      <c r="AJ20" s="33">
        <f>AI20*(1+'Green+Social Interface'!$I$35)</f>
        <v>0</v>
      </c>
      <c r="AK20" s="33">
        <f>AJ20*(1+'Green+Social Interface'!$I$35)</f>
        <v>0</v>
      </c>
      <c r="AL20" s="33">
        <f>AK20*(1+'Green+Social Interface'!$I$35)</f>
        <v>0</v>
      </c>
      <c r="AM20" s="33">
        <f>AL20*(1+'Green+Social Interface'!$I$35)</f>
        <v>0</v>
      </c>
      <c r="AN20" s="33">
        <f>AM20*(1+'Green+Social Interface'!$I$35)</f>
        <v>0</v>
      </c>
      <c r="AO20" s="33">
        <f>AN20*(1+'Green+Social Interface'!$I$35)</f>
        <v>0</v>
      </c>
      <c r="AP20" s="33">
        <f>AO20*(1+'Green+Social Interface'!$I$35)</f>
        <v>0</v>
      </c>
      <c r="AQ20" s="33">
        <f>AP20*(1+'Green+Social Interface'!$I$35)</f>
        <v>0</v>
      </c>
      <c r="AR20" s="33">
        <f>AQ20*(1+'Green+Social Interface'!$I$35)</f>
        <v>0</v>
      </c>
      <c r="AS20" s="33">
        <f>AR20*(1+'Green+Social Interface'!$I$35)</f>
        <v>0</v>
      </c>
      <c r="AT20" s="33">
        <f>AS20*(1+'Green+Social Interface'!$I$35)</f>
        <v>0</v>
      </c>
      <c r="AU20" s="33">
        <f>AT20*(1+'Green+Social Interface'!$I$35)</f>
        <v>0</v>
      </c>
      <c r="AV20" s="33">
        <f>AU20*(1+'Green+Social Interface'!$I$35)</f>
        <v>0</v>
      </c>
      <c r="AW20" s="33">
        <f>AV20*(1+'Green+Social Interface'!$I$35)</f>
        <v>0</v>
      </c>
      <c r="AX20" s="33">
        <f>AW20*(1+'Green+Social Interface'!$I$35)</f>
        <v>0</v>
      </c>
      <c r="AY20" s="33">
        <f>AX20*(1+'Green+Social Interface'!$I$35)</f>
        <v>0</v>
      </c>
      <c r="AZ20" s="33">
        <f>AY20*(1+'Green+Social Interface'!$I$35)</f>
        <v>0</v>
      </c>
      <c r="BA20" s="33">
        <f>AZ20*(1+'Green+Social Interface'!$I$35)</f>
        <v>0</v>
      </c>
    </row>
    <row r="21" spans="1:53" ht="15">
      <c r="A21" s="118"/>
      <c r="B21" s="24"/>
      <c r="C21" s="25" t="s">
        <v>9</v>
      </c>
      <c r="D21" s="25" t="s">
        <v>71</v>
      </c>
      <c r="E21" s="26">
        <f>IF('Green+Social Interface'!D21&gt;0,(0.535*(Q96-(Q96*$Q$103))*52)-(0.375*(Q96-(Q96*$Q$103))*52),0)</f>
        <v>0</v>
      </c>
      <c r="F21" s="18">
        <f>E21*VLOOKUP('Green+Social Interface'!$I$38,'Look-ups'!$A$15:$B$43,2,0)</f>
        <v>0</v>
      </c>
      <c r="G21" s="27">
        <v>1</v>
      </c>
      <c r="H21" s="27">
        <f>IF(H143&gt;0,'Green+Social Interface'!$D$21*(1-($H$137/$H$143)),0)</f>
        <v>0</v>
      </c>
      <c r="I21" s="21">
        <f>1-('Green+Social Interface'!$O$11)</f>
        <v>1</v>
      </c>
      <c r="J21" s="22"/>
      <c r="K21" s="32">
        <f t="shared" si="3"/>
        <v>0</v>
      </c>
      <c r="L21" s="32">
        <f t="shared" si="4"/>
        <v>0</v>
      </c>
      <c r="M21" s="152">
        <f t="shared" si="5"/>
        <v>0</v>
      </c>
      <c r="N21" s="33">
        <f t="shared" si="6"/>
        <v>0</v>
      </c>
      <c r="O21" s="33">
        <f>N21*(1+'Green+Social Interface'!$I$35)</f>
        <v>0</v>
      </c>
      <c r="P21" s="33">
        <f>O21*(1+'Green+Social Interface'!$I$35)</f>
        <v>0</v>
      </c>
      <c r="Q21" s="33">
        <f>P21*(1+'Green+Social Interface'!$I$35)</f>
        <v>0</v>
      </c>
      <c r="R21" s="33">
        <f>Q21*(1+'Green+Social Interface'!$I$35)</f>
        <v>0</v>
      </c>
      <c r="S21" s="33">
        <f>R21*(1+'Green+Social Interface'!$I$35)</f>
        <v>0</v>
      </c>
      <c r="T21" s="33">
        <f>S21*(1+'Green+Social Interface'!$I$35)</f>
        <v>0</v>
      </c>
      <c r="U21" s="33">
        <f>T21*(1+'Green+Social Interface'!$I$35)</f>
        <v>0</v>
      </c>
      <c r="V21" s="33">
        <f>U21*(1+'Green+Social Interface'!$I$35)</f>
        <v>0</v>
      </c>
      <c r="W21" s="33">
        <f>V21*(1+'Green+Social Interface'!$I$35)</f>
        <v>0</v>
      </c>
      <c r="X21" s="33">
        <f>W21*(1+'Green+Social Interface'!$I$35)</f>
        <v>0</v>
      </c>
      <c r="Y21" s="33">
        <f>X21*(1+'Green+Social Interface'!$I$35)</f>
        <v>0</v>
      </c>
      <c r="Z21" s="33">
        <f>Y21*(1+'Green+Social Interface'!$I$35)</f>
        <v>0</v>
      </c>
      <c r="AA21" s="33">
        <f>Z21*(1+'Green+Social Interface'!$I$35)</f>
        <v>0</v>
      </c>
      <c r="AB21" s="33">
        <f>AA21*(1+'Green+Social Interface'!$I$35)</f>
        <v>0</v>
      </c>
      <c r="AC21" s="33">
        <f>AB21*(1+'Green+Social Interface'!$I$35)</f>
        <v>0</v>
      </c>
      <c r="AD21" s="33">
        <f>AC21*(1+'Green+Social Interface'!$I$35)</f>
        <v>0</v>
      </c>
      <c r="AE21" s="33">
        <f>AD21*(1+'Green+Social Interface'!$I$35)</f>
        <v>0</v>
      </c>
      <c r="AF21" s="33">
        <f>AE21*(1+'Green+Social Interface'!$I$35)</f>
        <v>0</v>
      </c>
      <c r="AG21" s="33">
        <f>AF21*(1+'Green+Social Interface'!$I$35)</f>
        <v>0</v>
      </c>
      <c r="AH21" s="33">
        <f>AG21*(1+'Green+Social Interface'!$I$35)</f>
        <v>0</v>
      </c>
      <c r="AI21" s="33">
        <f>AH21*(1+'Green+Social Interface'!$I$35)</f>
        <v>0</v>
      </c>
      <c r="AJ21" s="33">
        <f>AI21*(1+'Green+Social Interface'!$I$35)</f>
        <v>0</v>
      </c>
      <c r="AK21" s="33">
        <f>AJ21*(1+'Green+Social Interface'!$I$35)</f>
        <v>0</v>
      </c>
      <c r="AL21" s="33">
        <f>AK21*(1+'Green+Social Interface'!$I$35)</f>
        <v>0</v>
      </c>
      <c r="AM21" s="33">
        <f>AL21*(1+'Green+Social Interface'!$I$35)</f>
        <v>0</v>
      </c>
      <c r="AN21" s="33">
        <f>AM21*(1+'Green+Social Interface'!$I$35)</f>
        <v>0</v>
      </c>
      <c r="AO21" s="33">
        <f>AN21*(1+'Green+Social Interface'!$I$35)</f>
        <v>0</v>
      </c>
      <c r="AP21" s="33">
        <f>AO21*(1+'Green+Social Interface'!$I$35)</f>
        <v>0</v>
      </c>
      <c r="AQ21" s="33">
        <f>AP21*(1+'Green+Social Interface'!$I$35)</f>
        <v>0</v>
      </c>
      <c r="AR21" s="33">
        <f>AQ21*(1+'Green+Social Interface'!$I$35)</f>
        <v>0</v>
      </c>
      <c r="AS21" s="33">
        <f>AR21*(1+'Green+Social Interface'!$I$35)</f>
        <v>0</v>
      </c>
      <c r="AT21" s="33">
        <f>AS21*(1+'Green+Social Interface'!$I$35)</f>
        <v>0</v>
      </c>
      <c r="AU21" s="33">
        <f>AT21*(1+'Green+Social Interface'!$I$35)</f>
        <v>0</v>
      </c>
      <c r="AV21" s="33">
        <f>AU21*(1+'Green+Social Interface'!$I$35)</f>
        <v>0</v>
      </c>
      <c r="AW21" s="33">
        <f>AV21*(1+'Green+Social Interface'!$I$35)</f>
        <v>0</v>
      </c>
      <c r="AX21" s="33">
        <f>AW21*(1+'Green+Social Interface'!$I$35)</f>
        <v>0</v>
      </c>
      <c r="AY21" s="33">
        <f>AX21*(1+'Green+Social Interface'!$I$35)</f>
        <v>0</v>
      </c>
      <c r="AZ21" s="33">
        <f>AY21*(1+'Green+Social Interface'!$I$35)</f>
        <v>0</v>
      </c>
      <c r="BA21" s="33">
        <f>AZ21*(1+'Green+Social Interface'!$I$35)</f>
        <v>0</v>
      </c>
    </row>
    <row r="22" spans="1:53" ht="15">
      <c r="A22" s="118"/>
      <c r="B22" s="24"/>
      <c r="C22" s="25" t="s">
        <v>11</v>
      </c>
      <c r="D22" s="25" t="s">
        <v>71</v>
      </c>
      <c r="E22" s="26">
        <f>IF('Green+Social Interface'!D22&gt;0,(0.535*(Q97-(Q97*$Q$103))*52)-(0.375*(Q97-(Q97*$Q$103))*52),0)</f>
        <v>0</v>
      </c>
      <c r="F22" s="18">
        <f>E22*VLOOKUP('Green+Social Interface'!$I$38,'Look-ups'!$A$15:$B$43,2,0)</f>
        <v>0</v>
      </c>
      <c r="G22" s="27">
        <v>1</v>
      </c>
      <c r="H22" s="27">
        <f>IF(H143&gt;0,'Green+Social Interface'!$D$22*(1-($H$137/$H$143)),0)</f>
        <v>0</v>
      </c>
      <c r="I22" s="21">
        <f>1-('Green+Social Interface'!$O$11)</f>
        <v>1</v>
      </c>
      <c r="J22" s="22"/>
      <c r="K22" s="32">
        <f t="shared" si="3"/>
        <v>0</v>
      </c>
      <c r="L22" s="32">
        <f t="shared" si="4"/>
        <v>0</v>
      </c>
      <c r="M22" s="152">
        <f t="shared" si="5"/>
        <v>0</v>
      </c>
      <c r="N22" s="33">
        <f t="shared" si="6"/>
        <v>0</v>
      </c>
      <c r="O22" s="33">
        <f>N22*(1+'Green+Social Interface'!$I$35)</f>
        <v>0</v>
      </c>
      <c r="P22" s="33">
        <f>O22*(1+'Green+Social Interface'!$I$35)</f>
        <v>0</v>
      </c>
      <c r="Q22" s="33">
        <f>P22*(1+'Green+Social Interface'!$I$35)</f>
        <v>0</v>
      </c>
      <c r="R22" s="33">
        <f>Q22*(1+'Green+Social Interface'!$I$35)</f>
        <v>0</v>
      </c>
      <c r="S22" s="33">
        <f>R22*(1+'Green+Social Interface'!$I$35)</f>
        <v>0</v>
      </c>
      <c r="T22" s="33">
        <f>S22*(1+'Green+Social Interface'!$I$35)</f>
        <v>0</v>
      </c>
      <c r="U22" s="33">
        <f>T22*(1+'Green+Social Interface'!$I$35)</f>
        <v>0</v>
      </c>
      <c r="V22" s="33">
        <f>U22*(1+'Green+Social Interface'!$I$35)</f>
        <v>0</v>
      </c>
      <c r="W22" s="33">
        <f>V22*(1+'Green+Social Interface'!$I$35)</f>
        <v>0</v>
      </c>
      <c r="X22" s="33">
        <f>W22*(1+'Green+Social Interface'!$I$35)</f>
        <v>0</v>
      </c>
      <c r="Y22" s="33">
        <f>X22*(1+'Green+Social Interface'!$I$35)</f>
        <v>0</v>
      </c>
      <c r="Z22" s="33">
        <f>Y22*(1+'Green+Social Interface'!$I$35)</f>
        <v>0</v>
      </c>
      <c r="AA22" s="33">
        <f>Z22*(1+'Green+Social Interface'!$I$35)</f>
        <v>0</v>
      </c>
      <c r="AB22" s="33">
        <f>AA22*(1+'Green+Social Interface'!$I$35)</f>
        <v>0</v>
      </c>
      <c r="AC22" s="33">
        <f>AB22*(1+'Green+Social Interface'!$I$35)</f>
        <v>0</v>
      </c>
      <c r="AD22" s="33">
        <f>AC22*(1+'Green+Social Interface'!$I$35)</f>
        <v>0</v>
      </c>
      <c r="AE22" s="33">
        <f>AD22*(1+'Green+Social Interface'!$I$35)</f>
        <v>0</v>
      </c>
      <c r="AF22" s="33">
        <f>AE22*(1+'Green+Social Interface'!$I$35)</f>
        <v>0</v>
      </c>
      <c r="AG22" s="33">
        <f>AF22*(1+'Green+Social Interface'!$I$35)</f>
        <v>0</v>
      </c>
      <c r="AH22" s="33">
        <f>AG22*(1+'Green+Social Interface'!$I$35)</f>
        <v>0</v>
      </c>
      <c r="AI22" s="33">
        <f>AH22*(1+'Green+Social Interface'!$I$35)</f>
        <v>0</v>
      </c>
      <c r="AJ22" s="33">
        <f>AI22*(1+'Green+Social Interface'!$I$35)</f>
        <v>0</v>
      </c>
      <c r="AK22" s="33">
        <f>AJ22*(1+'Green+Social Interface'!$I$35)</f>
        <v>0</v>
      </c>
      <c r="AL22" s="33">
        <f>AK22*(1+'Green+Social Interface'!$I$35)</f>
        <v>0</v>
      </c>
      <c r="AM22" s="33">
        <f>AL22*(1+'Green+Social Interface'!$I$35)</f>
        <v>0</v>
      </c>
      <c r="AN22" s="33">
        <f>AM22*(1+'Green+Social Interface'!$I$35)</f>
        <v>0</v>
      </c>
      <c r="AO22" s="33">
        <f>AN22*(1+'Green+Social Interface'!$I$35)</f>
        <v>0</v>
      </c>
      <c r="AP22" s="33">
        <f>AO22*(1+'Green+Social Interface'!$I$35)</f>
        <v>0</v>
      </c>
      <c r="AQ22" s="33">
        <f>AP22*(1+'Green+Social Interface'!$I$35)</f>
        <v>0</v>
      </c>
      <c r="AR22" s="33">
        <f>AQ22*(1+'Green+Social Interface'!$I$35)</f>
        <v>0</v>
      </c>
      <c r="AS22" s="33">
        <f>AR22*(1+'Green+Social Interface'!$I$35)</f>
        <v>0</v>
      </c>
      <c r="AT22" s="33">
        <f>AS22*(1+'Green+Social Interface'!$I$35)</f>
        <v>0</v>
      </c>
      <c r="AU22" s="33">
        <f>AT22*(1+'Green+Social Interface'!$I$35)</f>
        <v>0</v>
      </c>
      <c r="AV22" s="33">
        <f>AU22*(1+'Green+Social Interface'!$I$35)</f>
        <v>0</v>
      </c>
      <c r="AW22" s="33">
        <f>AV22*(1+'Green+Social Interface'!$I$35)</f>
        <v>0</v>
      </c>
      <c r="AX22" s="33">
        <f>AW22*(1+'Green+Social Interface'!$I$35)</f>
        <v>0</v>
      </c>
      <c r="AY22" s="33">
        <f>AX22*(1+'Green+Social Interface'!$I$35)</f>
        <v>0</v>
      </c>
      <c r="AZ22" s="33">
        <f>AY22*(1+'Green+Social Interface'!$I$35)</f>
        <v>0</v>
      </c>
      <c r="BA22" s="33">
        <f>AZ22*(1+'Green+Social Interface'!$I$35)</f>
        <v>0</v>
      </c>
    </row>
    <row r="23" spans="1:53" ht="15">
      <c r="A23" s="118" t="s">
        <v>110</v>
      </c>
      <c r="B23" s="24" t="s">
        <v>5</v>
      </c>
      <c r="C23" s="29" t="s">
        <v>10</v>
      </c>
      <c r="D23" s="25" t="s">
        <v>71</v>
      </c>
      <c r="E23" s="26">
        <f>IF('Green+Social Interface'!T18&gt;0,(0.535*(Q87-(S87))*52)-(0.375*(Q87-(S87))*52),0)</f>
        <v>0</v>
      </c>
      <c r="F23" s="18">
        <f>E23*VLOOKUP('Green+Social Interface'!$I$38,'Look-ups'!$A$15:$B$43,2,0)</f>
        <v>0</v>
      </c>
      <c r="G23" s="27">
        <v>0.3</v>
      </c>
      <c r="H23" s="27">
        <f>IF(H142&gt;0,'Green+Social Interface'!$T$18*(1-($H$136/$H$142)),0)</f>
        <v>0</v>
      </c>
      <c r="I23" s="21">
        <f>1-('Green+Social Interface'!$O$11)</f>
        <v>1</v>
      </c>
      <c r="J23" s="22"/>
      <c r="K23" s="32">
        <f t="shared" si="3"/>
        <v>0</v>
      </c>
      <c r="L23" s="32">
        <f t="shared" si="4"/>
        <v>0</v>
      </c>
      <c r="M23" s="152">
        <f t="shared" si="5"/>
        <v>0</v>
      </c>
      <c r="N23" s="33">
        <f t="shared" si="6"/>
        <v>0</v>
      </c>
      <c r="O23" s="33">
        <f>N23*(1+'Green+Social Interface'!$I$35)</f>
        <v>0</v>
      </c>
      <c r="P23" s="33">
        <f>O23*(1+'Green+Social Interface'!$I$35)</f>
        <v>0</v>
      </c>
      <c r="Q23" s="33">
        <f>P23*(1+'Green+Social Interface'!$I$35)</f>
        <v>0</v>
      </c>
      <c r="R23" s="33">
        <f>Q23*(1+'Green+Social Interface'!$I$35)</f>
        <v>0</v>
      </c>
      <c r="S23" s="33">
        <f>R23*(1+'Green+Social Interface'!$I$35)</f>
        <v>0</v>
      </c>
      <c r="T23" s="33">
        <f>S23*(1+'Green+Social Interface'!$I$35)</f>
        <v>0</v>
      </c>
      <c r="U23" s="33">
        <f>T23*(1+'Green+Social Interface'!$I$35)</f>
        <v>0</v>
      </c>
      <c r="V23" s="33">
        <f>U23*(1+'Green+Social Interface'!$I$35)</f>
        <v>0</v>
      </c>
      <c r="W23" s="33">
        <f>V23*(1+'Green+Social Interface'!$I$35)</f>
        <v>0</v>
      </c>
      <c r="X23" s="33">
        <f>W23*(1+'Green+Social Interface'!$I$35)</f>
        <v>0</v>
      </c>
      <c r="Y23" s="33">
        <f>X23*(1+'Green+Social Interface'!$I$35)</f>
        <v>0</v>
      </c>
      <c r="Z23" s="33">
        <f>Y23*(1+'Green+Social Interface'!$I$35)</f>
        <v>0</v>
      </c>
      <c r="AA23" s="33">
        <f>Z23*(1+'Green+Social Interface'!$I$35)</f>
        <v>0</v>
      </c>
      <c r="AB23" s="33">
        <f>AA23*(1+'Green+Social Interface'!$I$35)</f>
        <v>0</v>
      </c>
      <c r="AC23" s="33">
        <f>AB23*(1+'Green+Social Interface'!$I$35)</f>
        <v>0</v>
      </c>
      <c r="AD23" s="33">
        <f>AC23*(1+'Green+Social Interface'!$I$35)</f>
        <v>0</v>
      </c>
      <c r="AE23" s="33">
        <f>AD23*(1+'Green+Social Interface'!$I$35)</f>
        <v>0</v>
      </c>
      <c r="AF23" s="33">
        <f>AE23*(1+'Green+Social Interface'!$I$35)</f>
        <v>0</v>
      </c>
      <c r="AG23" s="33">
        <f>AF23*(1+'Green+Social Interface'!$I$35)</f>
        <v>0</v>
      </c>
      <c r="AH23" s="33">
        <f>AG23*(1+'Green+Social Interface'!$I$35)</f>
        <v>0</v>
      </c>
      <c r="AI23" s="33">
        <f>AH23*(1+'Green+Social Interface'!$I$35)</f>
        <v>0</v>
      </c>
      <c r="AJ23" s="33">
        <f>AI23*(1+'Green+Social Interface'!$I$35)</f>
        <v>0</v>
      </c>
      <c r="AK23" s="33">
        <f>AJ23*(1+'Green+Social Interface'!$I$35)</f>
        <v>0</v>
      </c>
      <c r="AL23" s="33">
        <f>AK23*(1+'Green+Social Interface'!$I$35)</f>
        <v>0</v>
      </c>
      <c r="AM23" s="33">
        <f>AL23*(1+'Green+Social Interface'!$I$35)</f>
        <v>0</v>
      </c>
      <c r="AN23" s="33">
        <f>AM23*(1+'Green+Social Interface'!$I$35)</f>
        <v>0</v>
      </c>
      <c r="AO23" s="33">
        <f>AN23*(1+'Green+Social Interface'!$I$35)</f>
        <v>0</v>
      </c>
      <c r="AP23" s="33">
        <f>AO23*(1+'Green+Social Interface'!$I$35)</f>
        <v>0</v>
      </c>
      <c r="AQ23" s="33">
        <f>AP23*(1+'Green+Social Interface'!$I$35)</f>
        <v>0</v>
      </c>
      <c r="AR23" s="33">
        <f>AQ23*(1+'Green+Social Interface'!$I$35)</f>
        <v>0</v>
      </c>
      <c r="AS23" s="33">
        <f>AR23*(1+'Green+Social Interface'!$I$35)</f>
        <v>0</v>
      </c>
      <c r="AT23" s="33">
        <f>AS23*(1+'Green+Social Interface'!$I$35)</f>
        <v>0</v>
      </c>
      <c r="AU23" s="33">
        <f>AT23*(1+'Green+Social Interface'!$I$35)</f>
        <v>0</v>
      </c>
      <c r="AV23" s="33">
        <f>AU23*(1+'Green+Social Interface'!$I$35)</f>
        <v>0</v>
      </c>
      <c r="AW23" s="33">
        <f>AV23*(1+'Green+Social Interface'!$I$35)</f>
        <v>0</v>
      </c>
      <c r="AX23" s="33">
        <f>AW23*(1+'Green+Social Interface'!$I$35)</f>
        <v>0</v>
      </c>
      <c r="AY23" s="33">
        <f>AX23*(1+'Green+Social Interface'!$I$35)</f>
        <v>0</v>
      </c>
      <c r="AZ23" s="33">
        <f>AY23*(1+'Green+Social Interface'!$I$35)</f>
        <v>0</v>
      </c>
      <c r="BA23" s="33">
        <f>AZ23*(1+'Green+Social Interface'!$I$35)</f>
        <v>0</v>
      </c>
    </row>
    <row r="24" spans="1:53" ht="15">
      <c r="A24" s="118"/>
      <c r="B24" s="24"/>
      <c r="C24" s="25" t="s">
        <v>6</v>
      </c>
      <c r="D24" s="25" t="s">
        <v>71</v>
      </c>
      <c r="E24" s="26">
        <f>IF('Green+Social Interface'!T19&gt;0,(0.535*(Q88-(S88))*52)-(0.375*(Q88-(S88))*52),0)</f>
        <v>0</v>
      </c>
      <c r="F24" s="18">
        <f>E24*VLOOKUP('Green+Social Interface'!$I$38,'Look-ups'!$A$15:$B$43,2,0)</f>
        <v>0</v>
      </c>
      <c r="G24" s="27">
        <v>0.3</v>
      </c>
      <c r="H24" s="27">
        <f>IF(H142&gt;0,'Green+Social Interface'!$T$19*(1-($H$136/$H$142)),0)</f>
        <v>0</v>
      </c>
      <c r="I24" s="21">
        <f>1-('Green+Social Interface'!$O$11)</f>
        <v>1</v>
      </c>
      <c r="J24" s="22"/>
      <c r="K24" s="32">
        <f t="shared" si="3"/>
        <v>0</v>
      </c>
      <c r="L24" s="32">
        <f t="shared" si="4"/>
        <v>0</v>
      </c>
      <c r="M24" s="152">
        <f t="shared" si="5"/>
        <v>0</v>
      </c>
      <c r="N24" s="33">
        <f t="shared" si="6"/>
        <v>0</v>
      </c>
      <c r="O24" s="33">
        <f>N24*(1+'Green+Social Interface'!$I$35)</f>
        <v>0</v>
      </c>
      <c r="P24" s="33">
        <f>O24*(1+'Green+Social Interface'!$I$35)</f>
        <v>0</v>
      </c>
      <c r="Q24" s="33">
        <f>P24*(1+'Green+Social Interface'!$I$35)</f>
        <v>0</v>
      </c>
      <c r="R24" s="33">
        <f>Q24*(1+'Green+Social Interface'!$I$35)</f>
        <v>0</v>
      </c>
      <c r="S24" s="33">
        <f>R24*(1+'Green+Social Interface'!$I$35)</f>
        <v>0</v>
      </c>
      <c r="T24" s="33">
        <f>S24*(1+'Green+Social Interface'!$I$35)</f>
        <v>0</v>
      </c>
      <c r="U24" s="33">
        <f>T24*(1+'Green+Social Interface'!$I$35)</f>
        <v>0</v>
      </c>
      <c r="V24" s="33">
        <f>U24*(1+'Green+Social Interface'!$I$35)</f>
        <v>0</v>
      </c>
      <c r="W24" s="33">
        <f>V24*(1+'Green+Social Interface'!$I$35)</f>
        <v>0</v>
      </c>
      <c r="X24" s="33">
        <f>W24*(1+'Green+Social Interface'!$I$35)</f>
        <v>0</v>
      </c>
      <c r="Y24" s="33">
        <f>X24*(1+'Green+Social Interface'!$I$35)</f>
        <v>0</v>
      </c>
      <c r="Z24" s="33">
        <f>Y24*(1+'Green+Social Interface'!$I$35)</f>
        <v>0</v>
      </c>
      <c r="AA24" s="33">
        <f>Z24*(1+'Green+Social Interface'!$I$35)</f>
        <v>0</v>
      </c>
      <c r="AB24" s="33">
        <f>AA24*(1+'Green+Social Interface'!$I$35)</f>
        <v>0</v>
      </c>
      <c r="AC24" s="33">
        <f>AB24*(1+'Green+Social Interface'!$I$35)</f>
        <v>0</v>
      </c>
      <c r="AD24" s="33">
        <f>AC24*(1+'Green+Social Interface'!$I$35)</f>
        <v>0</v>
      </c>
      <c r="AE24" s="33">
        <f>AD24*(1+'Green+Social Interface'!$I$35)</f>
        <v>0</v>
      </c>
      <c r="AF24" s="33">
        <f>AE24*(1+'Green+Social Interface'!$I$35)</f>
        <v>0</v>
      </c>
      <c r="AG24" s="33">
        <f>AF24*(1+'Green+Social Interface'!$I$35)</f>
        <v>0</v>
      </c>
      <c r="AH24" s="33">
        <f>AG24*(1+'Green+Social Interface'!$I$35)</f>
        <v>0</v>
      </c>
      <c r="AI24" s="33">
        <f>AH24*(1+'Green+Social Interface'!$I$35)</f>
        <v>0</v>
      </c>
      <c r="AJ24" s="33">
        <f>AI24*(1+'Green+Social Interface'!$I$35)</f>
        <v>0</v>
      </c>
      <c r="AK24" s="33">
        <f>AJ24*(1+'Green+Social Interface'!$I$35)</f>
        <v>0</v>
      </c>
      <c r="AL24" s="33">
        <f>AK24*(1+'Green+Social Interface'!$I$35)</f>
        <v>0</v>
      </c>
      <c r="AM24" s="33">
        <f>AL24*(1+'Green+Social Interface'!$I$35)</f>
        <v>0</v>
      </c>
      <c r="AN24" s="33">
        <f>AM24*(1+'Green+Social Interface'!$I$35)</f>
        <v>0</v>
      </c>
      <c r="AO24" s="33">
        <f>AN24*(1+'Green+Social Interface'!$I$35)</f>
        <v>0</v>
      </c>
      <c r="AP24" s="33">
        <f>AO24*(1+'Green+Social Interface'!$I$35)</f>
        <v>0</v>
      </c>
      <c r="AQ24" s="33">
        <f>AP24*(1+'Green+Social Interface'!$I$35)</f>
        <v>0</v>
      </c>
      <c r="AR24" s="33">
        <f>AQ24*(1+'Green+Social Interface'!$I$35)</f>
        <v>0</v>
      </c>
      <c r="AS24" s="33">
        <f>AR24*(1+'Green+Social Interface'!$I$35)</f>
        <v>0</v>
      </c>
      <c r="AT24" s="33">
        <f>AS24*(1+'Green+Social Interface'!$I$35)</f>
        <v>0</v>
      </c>
      <c r="AU24" s="33">
        <f>AT24*(1+'Green+Social Interface'!$I$35)</f>
        <v>0</v>
      </c>
      <c r="AV24" s="33">
        <f>AU24*(1+'Green+Social Interface'!$I$35)</f>
        <v>0</v>
      </c>
      <c r="AW24" s="33">
        <f>AV24*(1+'Green+Social Interface'!$I$35)</f>
        <v>0</v>
      </c>
      <c r="AX24" s="33">
        <f>AW24*(1+'Green+Social Interface'!$I$35)</f>
        <v>0</v>
      </c>
      <c r="AY24" s="33">
        <f>AX24*(1+'Green+Social Interface'!$I$35)</f>
        <v>0</v>
      </c>
      <c r="AZ24" s="33">
        <f>AY24*(1+'Green+Social Interface'!$I$35)</f>
        <v>0</v>
      </c>
      <c r="BA24" s="33">
        <f>AZ24*(1+'Green+Social Interface'!$I$35)</f>
        <v>0</v>
      </c>
    </row>
    <row r="25" spans="1:53" ht="15">
      <c r="A25" s="118"/>
      <c r="B25" s="24"/>
      <c r="C25" s="25" t="s">
        <v>7</v>
      </c>
      <c r="D25" s="25" t="s">
        <v>71</v>
      </c>
      <c r="E25" s="26">
        <f>IF('Green+Social Interface'!T20&gt;0,(0.535*(Q89-(S89))*52)-(0.375*(Q89-(S89))*52),0)</f>
        <v>0</v>
      </c>
      <c r="F25" s="18">
        <f>E25*VLOOKUP('Green+Social Interface'!$I$38,'Look-ups'!$A$15:$B$43,2,0)</f>
        <v>0</v>
      </c>
      <c r="G25" s="27">
        <v>0.3</v>
      </c>
      <c r="H25" s="27">
        <f>IF(H142&gt;0,'Green+Social Interface'!$T$20*(1-($H$136/$H$142)),0)</f>
        <v>0</v>
      </c>
      <c r="I25" s="21">
        <f>1-('Green+Social Interface'!$O$11)</f>
        <v>1</v>
      </c>
      <c r="J25" s="22"/>
      <c r="K25" s="32">
        <f t="shared" si="3"/>
        <v>0</v>
      </c>
      <c r="L25" s="32">
        <f t="shared" si="4"/>
        <v>0</v>
      </c>
      <c r="M25" s="152">
        <f t="shared" si="5"/>
        <v>0</v>
      </c>
      <c r="N25" s="33">
        <f t="shared" si="6"/>
        <v>0</v>
      </c>
      <c r="O25" s="33">
        <f>N25*(1+'Green+Social Interface'!$I$35)</f>
        <v>0</v>
      </c>
      <c r="P25" s="33">
        <f>O25*(1+'Green+Social Interface'!$I$35)</f>
        <v>0</v>
      </c>
      <c r="Q25" s="33">
        <f>P25*(1+'Green+Social Interface'!$I$35)</f>
        <v>0</v>
      </c>
      <c r="R25" s="33">
        <f>Q25*(1+'Green+Social Interface'!$I$35)</f>
        <v>0</v>
      </c>
      <c r="S25" s="33">
        <f>R25*(1+'Green+Social Interface'!$I$35)</f>
        <v>0</v>
      </c>
      <c r="T25" s="33">
        <f>S25*(1+'Green+Social Interface'!$I$35)</f>
        <v>0</v>
      </c>
      <c r="U25" s="33">
        <f>T25*(1+'Green+Social Interface'!$I$35)</f>
        <v>0</v>
      </c>
      <c r="V25" s="33">
        <f>U25*(1+'Green+Social Interface'!$I$35)</f>
        <v>0</v>
      </c>
      <c r="W25" s="33">
        <f>V25*(1+'Green+Social Interface'!$I$35)</f>
        <v>0</v>
      </c>
      <c r="X25" s="33">
        <f>W25*(1+'Green+Social Interface'!$I$35)</f>
        <v>0</v>
      </c>
      <c r="Y25" s="33">
        <f>X25*(1+'Green+Social Interface'!$I$35)</f>
        <v>0</v>
      </c>
      <c r="Z25" s="33">
        <f>Y25*(1+'Green+Social Interface'!$I$35)</f>
        <v>0</v>
      </c>
      <c r="AA25" s="33">
        <f>Z25*(1+'Green+Social Interface'!$I$35)</f>
        <v>0</v>
      </c>
      <c r="AB25" s="33">
        <f>AA25*(1+'Green+Social Interface'!$I$35)</f>
        <v>0</v>
      </c>
      <c r="AC25" s="33">
        <f>AB25*(1+'Green+Social Interface'!$I$35)</f>
        <v>0</v>
      </c>
      <c r="AD25" s="33">
        <f>AC25*(1+'Green+Social Interface'!$I$35)</f>
        <v>0</v>
      </c>
      <c r="AE25" s="33">
        <f>AD25*(1+'Green+Social Interface'!$I$35)</f>
        <v>0</v>
      </c>
      <c r="AF25" s="33">
        <f>AE25*(1+'Green+Social Interface'!$I$35)</f>
        <v>0</v>
      </c>
      <c r="AG25" s="33">
        <f>AF25*(1+'Green+Social Interface'!$I$35)</f>
        <v>0</v>
      </c>
      <c r="AH25" s="33">
        <f>AG25*(1+'Green+Social Interface'!$I$35)</f>
        <v>0</v>
      </c>
      <c r="AI25" s="33">
        <f>AH25*(1+'Green+Social Interface'!$I$35)</f>
        <v>0</v>
      </c>
      <c r="AJ25" s="33">
        <f>AI25*(1+'Green+Social Interface'!$I$35)</f>
        <v>0</v>
      </c>
      <c r="AK25" s="33">
        <f>AJ25*(1+'Green+Social Interface'!$I$35)</f>
        <v>0</v>
      </c>
      <c r="AL25" s="33">
        <f>AK25*(1+'Green+Social Interface'!$I$35)</f>
        <v>0</v>
      </c>
      <c r="AM25" s="33">
        <f>AL25*(1+'Green+Social Interface'!$I$35)</f>
        <v>0</v>
      </c>
      <c r="AN25" s="33">
        <f>AM25*(1+'Green+Social Interface'!$I$35)</f>
        <v>0</v>
      </c>
      <c r="AO25" s="33">
        <f>AN25*(1+'Green+Social Interface'!$I$35)</f>
        <v>0</v>
      </c>
      <c r="AP25" s="33">
        <f>AO25*(1+'Green+Social Interface'!$I$35)</f>
        <v>0</v>
      </c>
      <c r="AQ25" s="33">
        <f>AP25*(1+'Green+Social Interface'!$I$35)</f>
        <v>0</v>
      </c>
      <c r="AR25" s="33">
        <f>AQ25*(1+'Green+Social Interface'!$I$35)</f>
        <v>0</v>
      </c>
      <c r="AS25" s="33">
        <f>AR25*(1+'Green+Social Interface'!$I$35)</f>
        <v>0</v>
      </c>
      <c r="AT25" s="33">
        <f>AS25*(1+'Green+Social Interface'!$I$35)</f>
        <v>0</v>
      </c>
      <c r="AU25" s="33">
        <f>AT25*(1+'Green+Social Interface'!$I$35)</f>
        <v>0</v>
      </c>
      <c r="AV25" s="33">
        <f>AU25*(1+'Green+Social Interface'!$I$35)</f>
        <v>0</v>
      </c>
      <c r="AW25" s="33">
        <f>AV25*(1+'Green+Social Interface'!$I$35)</f>
        <v>0</v>
      </c>
      <c r="AX25" s="33">
        <f>AW25*(1+'Green+Social Interface'!$I$35)</f>
        <v>0</v>
      </c>
      <c r="AY25" s="33">
        <f>AX25*(1+'Green+Social Interface'!$I$35)</f>
        <v>0</v>
      </c>
      <c r="AZ25" s="33">
        <f>AY25*(1+'Green+Social Interface'!$I$35)</f>
        <v>0</v>
      </c>
      <c r="BA25" s="33">
        <f>AZ25*(1+'Green+Social Interface'!$I$35)</f>
        <v>0</v>
      </c>
    </row>
    <row r="26" spans="1:53" ht="15">
      <c r="A26" s="118"/>
      <c r="B26" s="24"/>
      <c r="C26" s="25" t="s">
        <v>8</v>
      </c>
      <c r="D26" s="25" t="s">
        <v>71</v>
      </c>
      <c r="E26" s="26">
        <f>IF('Green+Social Interface'!T21&gt;0,(0.535*(Q90-(S90))*52)-(0.375*(Q90-(S90))*52),0)</f>
        <v>0</v>
      </c>
      <c r="F26" s="18">
        <f>E26*VLOOKUP('Green+Social Interface'!$I$38,'Look-ups'!$A$15:$B$43,2,0)</f>
        <v>0</v>
      </c>
      <c r="G26" s="27">
        <v>0.3</v>
      </c>
      <c r="H26" s="27">
        <f>IF(H142&gt;0,'Green+Social Interface'!$T$21*(1-($H$136/$H$142)),0)</f>
        <v>0</v>
      </c>
      <c r="I26" s="21">
        <f>1-('Green+Social Interface'!$O$11)</f>
        <v>1</v>
      </c>
      <c r="J26" s="22"/>
      <c r="K26" s="32">
        <f t="shared" si="3"/>
        <v>0</v>
      </c>
      <c r="L26" s="32">
        <f t="shared" si="4"/>
        <v>0</v>
      </c>
      <c r="M26" s="152">
        <f t="shared" si="5"/>
        <v>0</v>
      </c>
      <c r="N26" s="33">
        <f t="shared" si="6"/>
        <v>0</v>
      </c>
      <c r="O26" s="33">
        <f>N26*(1+'Green+Social Interface'!$I$35)</f>
        <v>0</v>
      </c>
      <c r="P26" s="33">
        <f>O26*(1+'Green+Social Interface'!$I$35)</f>
        <v>0</v>
      </c>
      <c r="Q26" s="33">
        <f>P26*(1+'Green+Social Interface'!$I$35)</f>
        <v>0</v>
      </c>
      <c r="R26" s="33">
        <f>Q26*(1+'Green+Social Interface'!$I$35)</f>
        <v>0</v>
      </c>
      <c r="S26" s="33">
        <f>R26*(1+'Green+Social Interface'!$I$35)</f>
        <v>0</v>
      </c>
      <c r="T26" s="33">
        <f>S26*(1+'Green+Social Interface'!$I$35)</f>
        <v>0</v>
      </c>
      <c r="U26" s="33">
        <f>T26*(1+'Green+Social Interface'!$I$35)</f>
        <v>0</v>
      </c>
      <c r="V26" s="33">
        <f>U26*(1+'Green+Social Interface'!$I$35)</f>
        <v>0</v>
      </c>
      <c r="W26" s="33">
        <f>V26*(1+'Green+Social Interface'!$I$35)</f>
        <v>0</v>
      </c>
      <c r="X26" s="33">
        <f>W26*(1+'Green+Social Interface'!$I$35)</f>
        <v>0</v>
      </c>
      <c r="Y26" s="33">
        <f>X26*(1+'Green+Social Interface'!$I$35)</f>
        <v>0</v>
      </c>
      <c r="Z26" s="33">
        <f>Y26*(1+'Green+Social Interface'!$I$35)</f>
        <v>0</v>
      </c>
      <c r="AA26" s="33">
        <f>Z26*(1+'Green+Social Interface'!$I$35)</f>
        <v>0</v>
      </c>
      <c r="AB26" s="33">
        <f>AA26*(1+'Green+Social Interface'!$I$35)</f>
        <v>0</v>
      </c>
      <c r="AC26" s="33">
        <f>AB26*(1+'Green+Social Interface'!$I$35)</f>
        <v>0</v>
      </c>
      <c r="AD26" s="33">
        <f>AC26*(1+'Green+Social Interface'!$I$35)</f>
        <v>0</v>
      </c>
      <c r="AE26" s="33">
        <f>AD26*(1+'Green+Social Interface'!$I$35)</f>
        <v>0</v>
      </c>
      <c r="AF26" s="33">
        <f>AE26*(1+'Green+Social Interface'!$I$35)</f>
        <v>0</v>
      </c>
      <c r="AG26" s="33">
        <f>AF26*(1+'Green+Social Interface'!$I$35)</f>
        <v>0</v>
      </c>
      <c r="AH26" s="33">
        <f>AG26*(1+'Green+Social Interface'!$I$35)</f>
        <v>0</v>
      </c>
      <c r="AI26" s="33">
        <f>AH26*(1+'Green+Social Interface'!$I$35)</f>
        <v>0</v>
      </c>
      <c r="AJ26" s="33">
        <f>AI26*(1+'Green+Social Interface'!$I$35)</f>
        <v>0</v>
      </c>
      <c r="AK26" s="33">
        <f>AJ26*(1+'Green+Social Interface'!$I$35)</f>
        <v>0</v>
      </c>
      <c r="AL26" s="33">
        <f>AK26*(1+'Green+Social Interface'!$I$35)</f>
        <v>0</v>
      </c>
      <c r="AM26" s="33">
        <f>AL26*(1+'Green+Social Interface'!$I$35)</f>
        <v>0</v>
      </c>
      <c r="AN26" s="33">
        <f>AM26*(1+'Green+Social Interface'!$I$35)</f>
        <v>0</v>
      </c>
      <c r="AO26" s="33">
        <f>AN26*(1+'Green+Social Interface'!$I$35)</f>
        <v>0</v>
      </c>
      <c r="AP26" s="33">
        <f>AO26*(1+'Green+Social Interface'!$I$35)</f>
        <v>0</v>
      </c>
      <c r="AQ26" s="33">
        <f>AP26*(1+'Green+Social Interface'!$I$35)</f>
        <v>0</v>
      </c>
      <c r="AR26" s="33">
        <f>AQ26*(1+'Green+Social Interface'!$I$35)</f>
        <v>0</v>
      </c>
      <c r="AS26" s="33">
        <f>AR26*(1+'Green+Social Interface'!$I$35)</f>
        <v>0</v>
      </c>
      <c r="AT26" s="33">
        <f>AS26*(1+'Green+Social Interface'!$I$35)</f>
        <v>0</v>
      </c>
      <c r="AU26" s="33">
        <f>AT26*(1+'Green+Social Interface'!$I$35)</f>
        <v>0</v>
      </c>
      <c r="AV26" s="33">
        <f>AU26*(1+'Green+Social Interface'!$I$35)</f>
        <v>0</v>
      </c>
      <c r="AW26" s="33">
        <f>AV26*(1+'Green+Social Interface'!$I$35)</f>
        <v>0</v>
      </c>
      <c r="AX26" s="33">
        <f>AW26*(1+'Green+Social Interface'!$I$35)</f>
        <v>0</v>
      </c>
      <c r="AY26" s="33">
        <f>AX26*(1+'Green+Social Interface'!$I$35)</f>
        <v>0</v>
      </c>
      <c r="AZ26" s="33">
        <f>AY26*(1+'Green+Social Interface'!$I$35)</f>
        <v>0</v>
      </c>
      <c r="BA26" s="33">
        <f>AZ26*(1+'Green+Social Interface'!$I$35)</f>
        <v>0</v>
      </c>
    </row>
    <row r="27" spans="1:53" ht="15">
      <c r="A27" s="118"/>
      <c r="B27" s="24"/>
      <c r="C27" s="25" t="s">
        <v>9</v>
      </c>
      <c r="D27" s="25" t="s">
        <v>71</v>
      </c>
      <c r="E27" s="26">
        <f>IF('Green+Social Interface'!T22&gt;0,(0.535*(Q91-(S91))*52)-(0.375*(Q91-(S91))*52),0)</f>
        <v>0</v>
      </c>
      <c r="F27" s="18">
        <f>E27*VLOOKUP('Green+Social Interface'!$I$38,'Look-ups'!$A$15:$B$43,2,0)</f>
        <v>0</v>
      </c>
      <c r="G27" s="27">
        <v>0.3</v>
      </c>
      <c r="H27" s="27">
        <f>IF(H142&gt;0,'Green+Social Interface'!$T$22*(1-($H$136/$H$142)),0)</f>
        <v>0</v>
      </c>
      <c r="I27" s="21">
        <f>1-('Green+Social Interface'!$O$11)</f>
        <v>1</v>
      </c>
      <c r="J27" s="22"/>
      <c r="K27" s="32">
        <f t="shared" si="3"/>
        <v>0</v>
      </c>
      <c r="L27" s="32">
        <f t="shared" si="4"/>
        <v>0</v>
      </c>
      <c r="M27" s="152">
        <f t="shared" si="5"/>
        <v>0</v>
      </c>
      <c r="N27" s="33">
        <f t="shared" si="6"/>
        <v>0</v>
      </c>
      <c r="O27" s="33">
        <f>N27*(1+'Green+Social Interface'!$I$35)</f>
        <v>0</v>
      </c>
      <c r="P27" s="33">
        <f>O27*(1+'Green+Social Interface'!$I$35)</f>
        <v>0</v>
      </c>
      <c r="Q27" s="33">
        <f>P27*(1+'Green+Social Interface'!$I$35)</f>
        <v>0</v>
      </c>
      <c r="R27" s="33">
        <f>Q27*(1+'Green+Social Interface'!$I$35)</f>
        <v>0</v>
      </c>
      <c r="S27" s="33">
        <f>R27*(1+'Green+Social Interface'!$I$35)</f>
        <v>0</v>
      </c>
      <c r="T27" s="33">
        <f>S27*(1+'Green+Social Interface'!$I$35)</f>
        <v>0</v>
      </c>
      <c r="U27" s="33">
        <f>T27*(1+'Green+Social Interface'!$I$35)</f>
        <v>0</v>
      </c>
      <c r="V27" s="33">
        <f>U27*(1+'Green+Social Interface'!$I$35)</f>
        <v>0</v>
      </c>
      <c r="W27" s="33">
        <f>V27*(1+'Green+Social Interface'!$I$35)</f>
        <v>0</v>
      </c>
      <c r="X27" s="33">
        <f>W27*(1+'Green+Social Interface'!$I$35)</f>
        <v>0</v>
      </c>
      <c r="Y27" s="33">
        <f>X27*(1+'Green+Social Interface'!$I$35)</f>
        <v>0</v>
      </c>
      <c r="Z27" s="33">
        <f>Y27*(1+'Green+Social Interface'!$I$35)</f>
        <v>0</v>
      </c>
      <c r="AA27" s="33">
        <f>Z27*(1+'Green+Social Interface'!$I$35)</f>
        <v>0</v>
      </c>
      <c r="AB27" s="33">
        <f>AA27*(1+'Green+Social Interface'!$I$35)</f>
        <v>0</v>
      </c>
      <c r="AC27" s="33">
        <f>AB27*(1+'Green+Social Interface'!$I$35)</f>
        <v>0</v>
      </c>
      <c r="AD27" s="33">
        <f>AC27*(1+'Green+Social Interface'!$I$35)</f>
        <v>0</v>
      </c>
      <c r="AE27" s="33">
        <f>AD27*(1+'Green+Social Interface'!$I$35)</f>
        <v>0</v>
      </c>
      <c r="AF27" s="33">
        <f>AE27*(1+'Green+Social Interface'!$I$35)</f>
        <v>0</v>
      </c>
      <c r="AG27" s="33">
        <f>AF27*(1+'Green+Social Interface'!$I$35)</f>
        <v>0</v>
      </c>
      <c r="AH27" s="33">
        <f>AG27*(1+'Green+Social Interface'!$I$35)</f>
        <v>0</v>
      </c>
      <c r="AI27" s="33">
        <f>AH27*(1+'Green+Social Interface'!$I$35)</f>
        <v>0</v>
      </c>
      <c r="AJ27" s="33">
        <f>AI27*(1+'Green+Social Interface'!$I$35)</f>
        <v>0</v>
      </c>
      <c r="AK27" s="33">
        <f>AJ27*(1+'Green+Social Interface'!$I$35)</f>
        <v>0</v>
      </c>
      <c r="AL27" s="33">
        <f>AK27*(1+'Green+Social Interface'!$I$35)</f>
        <v>0</v>
      </c>
      <c r="AM27" s="33">
        <f>AL27*(1+'Green+Social Interface'!$I$35)</f>
        <v>0</v>
      </c>
      <c r="AN27" s="33">
        <f>AM27*(1+'Green+Social Interface'!$I$35)</f>
        <v>0</v>
      </c>
      <c r="AO27" s="33">
        <f>AN27*(1+'Green+Social Interface'!$I$35)</f>
        <v>0</v>
      </c>
      <c r="AP27" s="33">
        <f>AO27*(1+'Green+Social Interface'!$I$35)</f>
        <v>0</v>
      </c>
      <c r="AQ27" s="33">
        <f>AP27*(1+'Green+Social Interface'!$I$35)</f>
        <v>0</v>
      </c>
      <c r="AR27" s="33">
        <f>AQ27*(1+'Green+Social Interface'!$I$35)</f>
        <v>0</v>
      </c>
      <c r="AS27" s="33">
        <f>AR27*(1+'Green+Social Interface'!$I$35)</f>
        <v>0</v>
      </c>
      <c r="AT27" s="33">
        <f>AS27*(1+'Green+Social Interface'!$I$35)</f>
        <v>0</v>
      </c>
      <c r="AU27" s="33">
        <f>AT27*(1+'Green+Social Interface'!$I$35)</f>
        <v>0</v>
      </c>
      <c r="AV27" s="33">
        <f>AU27*(1+'Green+Social Interface'!$I$35)</f>
        <v>0</v>
      </c>
      <c r="AW27" s="33">
        <f>AV27*(1+'Green+Social Interface'!$I$35)</f>
        <v>0</v>
      </c>
      <c r="AX27" s="33">
        <f>AW27*(1+'Green+Social Interface'!$I$35)</f>
        <v>0</v>
      </c>
      <c r="AY27" s="33">
        <f>AX27*(1+'Green+Social Interface'!$I$35)</f>
        <v>0</v>
      </c>
      <c r="AZ27" s="33">
        <f>AY27*(1+'Green+Social Interface'!$I$35)</f>
        <v>0</v>
      </c>
      <c r="BA27" s="33">
        <f>AZ27*(1+'Green+Social Interface'!$I$35)</f>
        <v>0</v>
      </c>
    </row>
    <row r="28" spans="1:53" ht="15">
      <c r="A28" s="118" t="s">
        <v>110</v>
      </c>
      <c r="B28" s="24" t="s">
        <v>136</v>
      </c>
      <c r="C28" s="25" t="s">
        <v>6</v>
      </c>
      <c r="D28" s="25" t="s">
        <v>71</v>
      </c>
      <c r="E28" s="26">
        <f>IF('Green+Social Interface'!O18&gt;0,(0.535*(Q93-(S93))*52)-(0.375*(Q93-(S93))*52),0)</f>
        <v>0</v>
      </c>
      <c r="F28" s="18">
        <f>E28*VLOOKUP('Green+Social Interface'!$I$38,'Look-ups'!$A$15:$B$43,2,0)</f>
        <v>0</v>
      </c>
      <c r="G28" s="27">
        <v>0.3</v>
      </c>
      <c r="H28" s="27">
        <f>IF(H142&gt;0,'Green+Social Interface'!$O$18*(1-($H$136/$H$142)),0)</f>
        <v>0</v>
      </c>
      <c r="I28" s="21">
        <f>1-('Green+Social Interface'!$O$11)</f>
        <v>1</v>
      </c>
      <c r="J28" s="22"/>
      <c r="K28" s="32">
        <f t="shared" si="3"/>
        <v>0</v>
      </c>
      <c r="L28" s="32">
        <f t="shared" si="4"/>
        <v>0</v>
      </c>
      <c r="M28" s="152">
        <f t="shared" si="5"/>
        <v>0</v>
      </c>
      <c r="N28" s="33">
        <f t="shared" si="6"/>
        <v>0</v>
      </c>
      <c r="O28" s="33">
        <f>N28*(1+'Green+Social Interface'!$I$35)</f>
        <v>0</v>
      </c>
      <c r="P28" s="33">
        <f>O28*(1+'Green+Social Interface'!$I$35)</f>
        <v>0</v>
      </c>
      <c r="Q28" s="33">
        <f>P28*(1+'Green+Social Interface'!$I$35)</f>
        <v>0</v>
      </c>
      <c r="R28" s="33">
        <f>Q28*(1+'Green+Social Interface'!$I$35)</f>
        <v>0</v>
      </c>
      <c r="S28" s="33">
        <f>R28*(1+'Green+Social Interface'!$I$35)</f>
        <v>0</v>
      </c>
      <c r="T28" s="33">
        <f>S28*(1+'Green+Social Interface'!$I$35)</f>
        <v>0</v>
      </c>
      <c r="U28" s="33">
        <f>T28*(1+'Green+Social Interface'!$I$35)</f>
        <v>0</v>
      </c>
      <c r="V28" s="33">
        <f>U28*(1+'Green+Social Interface'!$I$35)</f>
        <v>0</v>
      </c>
      <c r="W28" s="33">
        <f>V28*(1+'Green+Social Interface'!$I$35)</f>
        <v>0</v>
      </c>
      <c r="X28" s="33">
        <f>W28*(1+'Green+Social Interface'!$I$35)</f>
        <v>0</v>
      </c>
      <c r="Y28" s="33">
        <f>X28*(1+'Green+Social Interface'!$I$35)</f>
        <v>0</v>
      </c>
      <c r="Z28" s="33">
        <f>Y28*(1+'Green+Social Interface'!$I$35)</f>
        <v>0</v>
      </c>
      <c r="AA28" s="33">
        <f>Z28*(1+'Green+Social Interface'!$I$35)</f>
        <v>0</v>
      </c>
      <c r="AB28" s="33">
        <f>AA28*(1+'Green+Social Interface'!$I$35)</f>
        <v>0</v>
      </c>
      <c r="AC28" s="33">
        <f>AB28*(1+'Green+Social Interface'!$I$35)</f>
        <v>0</v>
      </c>
      <c r="AD28" s="33">
        <f>AC28*(1+'Green+Social Interface'!$I$35)</f>
        <v>0</v>
      </c>
      <c r="AE28" s="33">
        <f>AD28*(1+'Green+Social Interface'!$I$35)</f>
        <v>0</v>
      </c>
      <c r="AF28" s="33">
        <f>AE28*(1+'Green+Social Interface'!$I$35)</f>
        <v>0</v>
      </c>
      <c r="AG28" s="33">
        <f>AF28*(1+'Green+Social Interface'!$I$35)</f>
        <v>0</v>
      </c>
      <c r="AH28" s="33">
        <f>AG28*(1+'Green+Social Interface'!$I$35)</f>
        <v>0</v>
      </c>
      <c r="AI28" s="33">
        <f>AH28*(1+'Green+Social Interface'!$I$35)</f>
        <v>0</v>
      </c>
      <c r="AJ28" s="33">
        <f>AI28*(1+'Green+Social Interface'!$I$35)</f>
        <v>0</v>
      </c>
      <c r="AK28" s="33">
        <f>AJ28*(1+'Green+Social Interface'!$I$35)</f>
        <v>0</v>
      </c>
      <c r="AL28" s="33">
        <f>AK28*(1+'Green+Social Interface'!$I$35)</f>
        <v>0</v>
      </c>
      <c r="AM28" s="33">
        <f>AL28*(1+'Green+Social Interface'!$I$35)</f>
        <v>0</v>
      </c>
      <c r="AN28" s="33">
        <f>AM28*(1+'Green+Social Interface'!$I$35)</f>
        <v>0</v>
      </c>
      <c r="AO28" s="33">
        <f>AN28*(1+'Green+Social Interface'!$I$35)</f>
        <v>0</v>
      </c>
      <c r="AP28" s="33">
        <f>AO28*(1+'Green+Social Interface'!$I$35)</f>
        <v>0</v>
      </c>
      <c r="AQ28" s="33">
        <f>AP28*(1+'Green+Social Interface'!$I$35)</f>
        <v>0</v>
      </c>
      <c r="AR28" s="33">
        <f>AQ28*(1+'Green+Social Interface'!$I$35)</f>
        <v>0</v>
      </c>
      <c r="AS28" s="33">
        <f>AR28*(1+'Green+Social Interface'!$I$35)</f>
        <v>0</v>
      </c>
      <c r="AT28" s="33">
        <f>AS28*(1+'Green+Social Interface'!$I$35)</f>
        <v>0</v>
      </c>
      <c r="AU28" s="33">
        <f>AT28*(1+'Green+Social Interface'!$I$35)</f>
        <v>0</v>
      </c>
      <c r="AV28" s="33">
        <f>AU28*(1+'Green+Social Interface'!$I$35)</f>
        <v>0</v>
      </c>
      <c r="AW28" s="33">
        <f>AV28*(1+'Green+Social Interface'!$I$35)</f>
        <v>0</v>
      </c>
      <c r="AX28" s="33">
        <f>AW28*(1+'Green+Social Interface'!$I$35)</f>
        <v>0</v>
      </c>
      <c r="AY28" s="33">
        <f>AX28*(1+'Green+Social Interface'!$I$35)</f>
        <v>0</v>
      </c>
      <c r="AZ28" s="33">
        <f>AY28*(1+'Green+Social Interface'!$I$35)</f>
        <v>0</v>
      </c>
      <c r="BA28" s="33">
        <f>AZ28*(1+'Green+Social Interface'!$I$35)</f>
        <v>0</v>
      </c>
    </row>
    <row r="29" spans="2:53" ht="15">
      <c r="B29" s="24"/>
      <c r="C29" s="25" t="s">
        <v>7</v>
      </c>
      <c r="D29" s="25" t="s">
        <v>71</v>
      </c>
      <c r="E29" s="26">
        <f>IF('Green+Social Interface'!O19&gt;0,(0.535*(Q94-(S94))*52)-(0.375*(Q94-(S94))*52),0)</f>
        <v>0</v>
      </c>
      <c r="F29" s="18">
        <f>E29*VLOOKUP('Green+Social Interface'!$I$38,'Look-ups'!$A$15:$B$43,2,0)</f>
        <v>0</v>
      </c>
      <c r="G29" s="27">
        <v>0.3</v>
      </c>
      <c r="H29" s="27">
        <f>IF(H142&gt;0,'Green+Social Interface'!$O$19*(1-($H$136/$H$142)),0)</f>
        <v>0</v>
      </c>
      <c r="I29" s="21">
        <f>1-('Green+Social Interface'!$O$11)</f>
        <v>1</v>
      </c>
      <c r="J29" s="22"/>
      <c r="K29" s="32">
        <f t="shared" si="3"/>
        <v>0</v>
      </c>
      <c r="L29" s="32">
        <f t="shared" si="4"/>
        <v>0</v>
      </c>
      <c r="M29" s="152">
        <f t="shared" si="5"/>
        <v>0</v>
      </c>
      <c r="N29" s="33">
        <f t="shared" si="6"/>
        <v>0</v>
      </c>
      <c r="O29" s="33">
        <f>N29*(1+'Green+Social Interface'!$I$35)</f>
        <v>0</v>
      </c>
      <c r="P29" s="33">
        <f>O29*(1+'Green+Social Interface'!$I$35)</f>
        <v>0</v>
      </c>
      <c r="Q29" s="33">
        <f>P29*(1+'Green+Social Interface'!$I$35)</f>
        <v>0</v>
      </c>
      <c r="R29" s="33">
        <f>Q29*(1+'Green+Social Interface'!$I$35)</f>
        <v>0</v>
      </c>
      <c r="S29" s="33">
        <f>R29*(1+'Green+Social Interface'!$I$35)</f>
        <v>0</v>
      </c>
      <c r="T29" s="33">
        <f>S29*(1+'Green+Social Interface'!$I$35)</f>
        <v>0</v>
      </c>
      <c r="U29" s="33">
        <f>T29*(1+'Green+Social Interface'!$I$35)</f>
        <v>0</v>
      </c>
      <c r="V29" s="33">
        <f>U29*(1+'Green+Social Interface'!$I$35)</f>
        <v>0</v>
      </c>
      <c r="W29" s="33">
        <f>V29*(1+'Green+Social Interface'!$I$35)</f>
        <v>0</v>
      </c>
      <c r="X29" s="33">
        <f>W29*(1+'Green+Social Interface'!$I$35)</f>
        <v>0</v>
      </c>
      <c r="Y29" s="33">
        <f>X29*(1+'Green+Social Interface'!$I$35)</f>
        <v>0</v>
      </c>
      <c r="Z29" s="33">
        <f>Y29*(1+'Green+Social Interface'!$I$35)</f>
        <v>0</v>
      </c>
      <c r="AA29" s="33">
        <f>Z29*(1+'Green+Social Interface'!$I$35)</f>
        <v>0</v>
      </c>
      <c r="AB29" s="33">
        <f>AA29*(1+'Green+Social Interface'!$I$35)</f>
        <v>0</v>
      </c>
      <c r="AC29" s="33">
        <f>AB29*(1+'Green+Social Interface'!$I$35)</f>
        <v>0</v>
      </c>
      <c r="AD29" s="33">
        <f>AC29*(1+'Green+Social Interface'!$I$35)</f>
        <v>0</v>
      </c>
      <c r="AE29" s="33">
        <f>AD29*(1+'Green+Social Interface'!$I$35)</f>
        <v>0</v>
      </c>
      <c r="AF29" s="33">
        <f>AE29*(1+'Green+Social Interface'!$I$35)</f>
        <v>0</v>
      </c>
      <c r="AG29" s="33">
        <f>AF29*(1+'Green+Social Interface'!$I$35)</f>
        <v>0</v>
      </c>
      <c r="AH29" s="33">
        <f>AG29*(1+'Green+Social Interface'!$I$35)</f>
        <v>0</v>
      </c>
      <c r="AI29" s="33">
        <f>AH29*(1+'Green+Social Interface'!$I$35)</f>
        <v>0</v>
      </c>
      <c r="AJ29" s="33">
        <f>AI29*(1+'Green+Social Interface'!$I$35)</f>
        <v>0</v>
      </c>
      <c r="AK29" s="33">
        <f>AJ29*(1+'Green+Social Interface'!$I$35)</f>
        <v>0</v>
      </c>
      <c r="AL29" s="33">
        <f>AK29*(1+'Green+Social Interface'!$I$35)</f>
        <v>0</v>
      </c>
      <c r="AM29" s="33">
        <f>AL29*(1+'Green+Social Interface'!$I$35)</f>
        <v>0</v>
      </c>
      <c r="AN29" s="33">
        <f>AM29*(1+'Green+Social Interface'!$I$35)</f>
        <v>0</v>
      </c>
      <c r="AO29" s="33">
        <f>AN29*(1+'Green+Social Interface'!$I$35)</f>
        <v>0</v>
      </c>
      <c r="AP29" s="33">
        <f>AO29*(1+'Green+Social Interface'!$I$35)</f>
        <v>0</v>
      </c>
      <c r="AQ29" s="33">
        <f>AP29*(1+'Green+Social Interface'!$I$35)</f>
        <v>0</v>
      </c>
      <c r="AR29" s="33">
        <f>AQ29*(1+'Green+Social Interface'!$I$35)</f>
        <v>0</v>
      </c>
      <c r="AS29" s="33">
        <f>AR29*(1+'Green+Social Interface'!$I$35)</f>
        <v>0</v>
      </c>
      <c r="AT29" s="33">
        <f>AS29*(1+'Green+Social Interface'!$I$35)</f>
        <v>0</v>
      </c>
      <c r="AU29" s="33">
        <f>AT29*(1+'Green+Social Interface'!$I$35)</f>
        <v>0</v>
      </c>
      <c r="AV29" s="33">
        <f>AU29*(1+'Green+Social Interface'!$I$35)</f>
        <v>0</v>
      </c>
      <c r="AW29" s="33">
        <f>AV29*(1+'Green+Social Interface'!$I$35)</f>
        <v>0</v>
      </c>
      <c r="AX29" s="33">
        <f>AW29*(1+'Green+Social Interface'!$I$35)</f>
        <v>0</v>
      </c>
      <c r="AY29" s="33">
        <f>AX29*(1+'Green+Social Interface'!$I$35)</f>
        <v>0</v>
      </c>
      <c r="AZ29" s="33">
        <f>AY29*(1+'Green+Social Interface'!$I$35)</f>
        <v>0</v>
      </c>
      <c r="BA29" s="33">
        <f>AZ29*(1+'Green+Social Interface'!$I$35)</f>
        <v>0</v>
      </c>
    </row>
    <row r="30" spans="2:53" ht="15">
      <c r="B30" s="24"/>
      <c r="C30" s="25" t="s">
        <v>8</v>
      </c>
      <c r="D30" s="25" t="s">
        <v>71</v>
      </c>
      <c r="E30" s="26">
        <f>IF('Green+Social Interface'!O20&gt;0,(0.535*(Q95-(S95))*52)-(0.375*(Q95-(S95))*52),0)</f>
        <v>0</v>
      </c>
      <c r="F30" s="18">
        <f>E30*VLOOKUP('Green+Social Interface'!$I$38,'Look-ups'!$A$15:$B$43,2,0)</f>
        <v>0</v>
      </c>
      <c r="G30" s="27">
        <v>0.3</v>
      </c>
      <c r="H30" s="27">
        <f>IF(H142&gt;0,'Green+Social Interface'!$O$20*(1-($H$136/$H$142)),0)</f>
        <v>0</v>
      </c>
      <c r="I30" s="21">
        <f>1-('Green+Social Interface'!$O$11)</f>
        <v>1</v>
      </c>
      <c r="J30" s="22"/>
      <c r="K30" s="32">
        <f t="shared" si="3"/>
        <v>0</v>
      </c>
      <c r="L30" s="32">
        <f t="shared" si="4"/>
        <v>0</v>
      </c>
      <c r="M30" s="152">
        <f t="shared" si="5"/>
        <v>0</v>
      </c>
      <c r="N30" s="33">
        <f t="shared" si="6"/>
        <v>0</v>
      </c>
      <c r="O30" s="33">
        <f>N30*(1+'Green+Social Interface'!$I$35)</f>
        <v>0</v>
      </c>
      <c r="P30" s="33">
        <f>O30*(1+'Green+Social Interface'!$I$35)</f>
        <v>0</v>
      </c>
      <c r="Q30" s="33">
        <f>P30*(1+'Green+Social Interface'!$I$35)</f>
        <v>0</v>
      </c>
      <c r="R30" s="33">
        <f>Q30*(1+'Green+Social Interface'!$I$35)</f>
        <v>0</v>
      </c>
      <c r="S30" s="33">
        <f>R30*(1+'Green+Social Interface'!$I$35)</f>
        <v>0</v>
      </c>
      <c r="T30" s="33">
        <f>S30*(1+'Green+Social Interface'!$I$35)</f>
        <v>0</v>
      </c>
      <c r="U30" s="33">
        <f>T30*(1+'Green+Social Interface'!$I$35)</f>
        <v>0</v>
      </c>
      <c r="V30" s="33">
        <f>U30*(1+'Green+Social Interface'!$I$35)</f>
        <v>0</v>
      </c>
      <c r="W30" s="33">
        <f>V30*(1+'Green+Social Interface'!$I$35)</f>
        <v>0</v>
      </c>
      <c r="X30" s="33">
        <f>W30*(1+'Green+Social Interface'!$I$35)</f>
        <v>0</v>
      </c>
      <c r="Y30" s="33">
        <f>X30*(1+'Green+Social Interface'!$I$35)</f>
        <v>0</v>
      </c>
      <c r="Z30" s="33">
        <f>Y30*(1+'Green+Social Interface'!$I$35)</f>
        <v>0</v>
      </c>
      <c r="AA30" s="33">
        <f>Z30*(1+'Green+Social Interface'!$I$35)</f>
        <v>0</v>
      </c>
      <c r="AB30" s="33">
        <f>AA30*(1+'Green+Social Interface'!$I$35)</f>
        <v>0</v>
      </c>
      <c r="AC30" s="33">
        <f>AB30*(1+'Green+Social Interface'!$I$35)</f>
        <v>0</v>
      </c>
      <c r="AD30" s="33">
        <f>AC30*(1+'Green+Social Interface'!$I$35)</f>
        <v>0</v>
      </c>
      <c r="AE30" s="33">
        <f>AD30*(1+'Green+Social Interface'!$I$35)</f>
        <v>0</v>
      </c>
      <c r="AF30" s="33">
        <f>AE30*(1+'Green+Social Interface'!$I$35)</f>
        <v>0</v>
      </c>
      <c r="AG30" s="33">
        <f>AF30*(1+'Green+Social Interface'!$I$35)</f>
        <v>0</v>
      </c>
      <c r="AH30" s="33">
        <f>AG30*(1+'Green+Social Interface'!$I$35)</f>
        <v>0</v>
      </c>
      <c r="AI30" s="33">
        <f>AH30*(1+'Green+Social Interface'!$I$35)</f>
        <v>0</v>
      </c>
      <c r="AJ30" s="33">
        <f>AI30*(1+'Green+Social Interface'!$I$35)</f>
        <v>0</v>
      </c>
      <c r="AK30" s="33">
        <f>AJ30*(1+'Green+Social Interface'!$I$35)</f>
        <v>0</v>
      </c>
      <c r="AL30" s="33">
        <f>AK30*(1+'Green+Social Interface'!$I$35)</f>
        <v>0</v>
      </c>
      <c r="AM30" s="33">
        <f>AL30*(1+'Green+Social Interface'!$I$35)</f>
        <v>0</v>
      </c>
      <c r="AN30" s="33">
        <f>AM30*(1+'Green+Social Interface'!$I$35)</f>
        <v>0</v>
      </c>
      <c r="AO30" s="33">
        <f>AN30*(1+'Green+Social Interface'!$I$35)</f>
        <v>0</v>
      </c>
      <c r="AP30" s="33">
        <f>AO30*(1+'Green+Social Interface'!$I$35)</f>
        <v>0</v>
      </c>
      <c r="AQ30" s="33">
        <f>AP30*(1+'Green+Social Interface'!$I$35)</f>
        <v>0</v>
      </c>
      <c r="AR30" s="33">
        <f>AQ30*(1+'Green+Social Interface'!$I$35)</f>
        <v>0</v>
      </c>
      <c r="AS30" s="33">
        <f>AR30*(1+'Green+Social Interface'!$I$35)</f>
        <v>0</v>
      </c>
      <c r="AT30" s="33">
        <f>AS30*(1+'Green+Social Interface'!$I$35)</f>
        <v>0</v>
      </c>
      <c r="AU30" s="33">
        <f>AT30*(1+'Green+Social Interface'!$I$35)</f>
        <v>0</v>
      </c>
      <c r="AV30" s="33">
        <f>AU30*(1+'Green+Social Interface'!$I$35)</f>
        <v>0</v>
      </c>
      <c r="AW30" s="33">
        <f>AV30*(1+'Green+Social Interface'!$I$35)</f>
        <v>0</v>
      </c>
      <c r="AX30" s="33">
        <f>AW30*(1+'Green+Social Interface'!$I$35)</f>
        <v>0</v>
      </c>
      <c r="AY30" s="33">
        <f>AX30*(1+'Green+Social Interface'!$I$35)</f>
        <v>0</v>
      </c>
      <c r="AZ30" s="33">
        <f>AY30*(1+'Green+Social Interface'!$I$35)</f>
        <v>0</v>
      </c>
      <c r="BA30" s="33">
        <f>AZ30*(1+'Green+Social Interface'!$I$35)</f>
        <v>0</v>
      </c>
    </row>
    <row r="31" spans="2:53" ht="15">
      <c r="B31" s="24"/>
      <c r="C31" s="25" t="s">
        <v>9</v>
      </c>
      <c r="D31" s="25" t="s">
        <v>71</v>
      </c>
      <c r="E31" s="26">
        <f>IF('Green+Social Interface'!O21&gt;0,(0.535*(Q96-(S96))*52)-(0.375*(Q96-(S96))*52),0)</f>
        <v>0</v>
      </c>
      <c r="F31" s="18">
        <f>E31*VLOOKUP('Green+Social Interface'!$I$38,'Look-ups'!$A$15:$B$43,2,0)</f>
        <v>0</v>
      </c>
      <c r="G31" s="27">
        <v>0.3</v>
      </c>
      <c r="H31" s="27">
        <f>IF(H142&gt;0,'Green+Social Interface'!$O$21*(1-($H$136/$H$142)),0)</f>
        <v>0</v>
      </c>
      <c r="I31" s="21">
        <f>1-('Green+Social Interface'!$O$11)</f>
        <v>1</v>
      </c>
      <c r="J31" s="22"/>
      <c r="K31" s="32">
        <f t="shared" si="3"/>
        <v>0</v>
      </c>
      <c r="L31" s="32">
        <f t="shared" si="4"/>
        <v>0</v>
      </c>
      <c r="M31" s="152">
        <f t="shared" si="5"/>
        <v>0</v>
      </c>
      <c r="N31" s="33">
        <f t="shared" si="6"/>
        <v>0</v>
      </c>
      <c r="O31" s="33">
        <f>N31*(1+'Green+Social Interface'!$I$35)</f>
        <v>0</v>
      </c>
      <c r="P31" s="33">
        <f>O31*(1+'Green+Social Interface'!$I$35)</f>
        <v>0</v>
      </c>
      <c r="Q31" s="33">
        <f>P31*(1+'Green+Social Interface'!$I$35)</f>
        <v>0</v>
      </c>
      <c r="R31" s="33">
        <f>Q31*(1+'Green+Social Interface'!$I$35)</f>
        <v>0</v>
      </c>
      <c r="S31" s="33">
        <f>R31*(1+'Green+Social Interface'!$I$35)</f>
        <v>0</v>
      </c>
      <c r="T31" s="33">
        <f>S31*(1+'Green+Social Interface'!$I$35)</f>
        <v>0</v>
      </c>
      <c r="U31" s="33">
        <f>T31*(1+'Green+Social Interface'!$I$35)</f>
        <v>0</v>
      </c>
      <c r="V31" s="33">
        <f>U31*(1+'Green+Social Interface'!$I$35)</f>
        <v>0</v>
      </c>
      <c r="W31" s="33">
        <f>V31*(1+'Green+Social Interface'!$I$35)</f>
        <v>0</v>
      </c>
      <c r="X31" s="33">
        <f>W31*(1+'Green+Social Interface'!$I$35)</f>
        <v>0</v>
      </c>
      <c r="Y31" s="33">
        <f>X31*(1+'Green+Social Interface'!$I$35)</f>
        <v>0</v>
      </c>
      <c r="Z31" s="33">
        <f>Y31*(1+'Green+Social Interface'!$I$35)</f>
        <v>0</v>
      </c>
      <c r="AA31" s="33">
        <f>Z31*(1+'Green+Social Interface'!$I$35)</f>
        <v>0</v>
      </c>
      <c r="AB31" s="33">
        <f>AA31*(1+'Green+Social Interface'!$I$35)</f>
        <v>0</v>
      </c>
      <c r="AC31" s="33">
        <f>AB31*(1+'Green+Social Interface'!$I$35)</f>
        <v>0</v>
      </c>
      <c r="AD31" s="33">
        <f>AC31*(1+'Green+Social Interface'!$I$35)</f>
        <v>0</v>
      </c>
      <c r="AE31" s="33">
        <f>AD31*(1+'Green+Social Interface'!$I$35)</f>
        <v>0</v>
      </c>
      <c r="AF31" s="33">
        <f>AE31*(1+'Green+Social Interface'!$I$35)</f>
        <v>0</v>
      </c>
      <c r="AG31" s="33">
        <f>AF31*(1+'Green+Social Interface'!$I$35)</f>
        <v>0</v>
      </c>
      <c r="AH31" s="33">
        <f>AG31*(1+'Green+Social Interface'!$I$35)</f>
        <v>0</v>
      </c>
      <c r="AI31" s="33">
        <f>AH31*(1+'Green+Social Interface'!$I$35)</f>
        <v>0</v>
      </c>
      <c r="AJ31" s="33">
        <f>AI31*(1+'Green+Social Interface'!$I$35)</f>
        <v>0</v>
      </c>
      <c r="AK31" s="33">
        <f>AJ31*(1+'Green+Social Interface'!$I$35)</f>
        <v>0</v>
      </c>
      <c r="AL31" s="33">
        <f>AK31*(1+'Green+Social Interface'!$I$35)</f>
        <v>0</v>
      </c>
      <c r="AM31" s="33">
        <f>AL31*(1+'Green+Social Interface'!$I$35)</f>
        <v>0</v>
      </c>
      <c r="AN31" s="33">
        <f>AM31*(1+'Green+Social Interface'!$I$35)</f>
        <v>0</v>
      </c>
      <c r="AO31" s="33">
        <f>AN31*(1+'Green+Social Interface'!$I$35)</f>
        <v>0</v>
      </c>
      <c r="AP31" s="33">
        <f>AO31*(1+'Green+Social Interface'!$I$35)</f>
        <v>0</v>
      </c>
      <c r="AQ31" s="33">
        <f>AP31*(1+'Green+Social Interface'!$I$35)</f>
        <v>0</v>
      </c>
      <c r="AR31" s="33">
        <f>AQ31*(1+'Green+Social Interface'!$I$35)</f>
        <v>0</v>
      </c>
      <c r="AS31" s="33">
        <f>AR31*(1+'Green+Social Interface'!$I$35)</f>
        <v>0</v>
      </c>
      <c r="AT31" s="33">
        <f>AS31*(1+'Green+Social Interface'!$I$35)</f>
        <v>0</v>
      </c>
      <c r="AU31" s="33">
        <f>AT31*(1+'Green+Social Interface'!$I$35)</f>
        <v>0</v>
      </c>
      <c r="AV31" s="33">
        <f>AU31*(1+'Green+Social Interface'!$I$35)</f>
        <v>0</v>
      </c>
      <c r="AW31" s="33">
        <f>AV31*(1+'Green+Social Interface'!$I$35)</f>
        <v>0</v>
      </c>
      <c r="AX31" s="33">
        <f>AW31*(1+'Green+Social Interface'!$I$35)</f>
        <v>0</v>
      </c>
      <c r="AY31" s="33">
        <f>AX31*(1+'Green+Social Interface'!$I$35)</f>
        <v>0</v>
      </c>
      <c r="AZ31" s="33">
        <f>AY31*(1+'Green+Social Interface'!$I$35)</f>
        <v>0</v>
      </c>
      <c r="BA31" s="33">
        <f>AZ31*(1+'Green+Social Interface'!$I$35)</f>
        <v>0</v>
      </c>
    </row>
    <row r="32" spans="2:53" ht="15">
      <c r="B32" s="24"/>
      <c r="C32" s="25" t="s">
        <v>11</v>
      </c>
      <c r="D32" s="25" t="s">
        <v>71</v>
      </c>
      <c r="E32" s="26">
        <f>IF('Green+Social Interface'!O22&gt;0,(0.535*(Q97-(S97))*52)-(0.375*(Q97-(S97))*52),0)</f>
        <v>0</v>
      </c>
      <c r="F32" s="18">
        <f>E32*VLOOKUP('Green+Social Interface'!$I$38,'Look-ups'!$A$15:$B$43,2,0)</f>
        <v>0</v>
      </c>
      <c r="G32" s="27">
        <v>0.3</v>
      </c>
      <c r="H32" s="27">
        <f>IF(H142&gt;0,'Green+Social Interface'!$O$22*(1-($H$136/$H$142)),0)</f>
        <v>0</v>
      </c>
      <c r="I32" s="21">
        <f>1-('Green+Social Interface'!$O$11)</f>
        <v>1</v>
      </c>
      <c r="J32" s="22"/>
      <c r="K32" s="32">
        <f t="shared" si="3"/>
        <v>0</v>
      </c>
      <c r="L32" s="32">
        <f t="shared" si="4"/>
        <v>0</v>
      </c>
      <c r="M32" s="152">
        <f t="shared" si="5"/>
        <v>0</v>
      </c>
      <c r="N32" s="33">
        <f t="shared" si="6"/>
        <v>0</v>
      </c>
      <c r="O32" s="33">
        <f>N32*(1+'Green+Social Interface'!$I$35)</f>
        <v>0</v>
      </c>
      <c r="P32" s="33">
        <f>O32*(1+'Green+Social Interface'!$I$35)</f>
        <v>0</v>
      </c>
      <c r="Q32" s="33">
        <f>P32*(1+'Green+Social Interface'!$I$35)</f>
        <v>0</v>
      </c>
      <c r="R32" s="33">
        <f>Q32*(1+'Green+Social Interface'!$I$35)</f>
        <v>0</v>
      </c>
      <c r="S32" s="33">
        <f>R32*(1+'Green+Social Interface'!$I$35)</f>
        <v>0</v>
      </c>
      <c r="T32" s="33">
        <f>S32*(1+'Green+Social Interface'!$I$35)</f>
        <v>0</v>
      </c>
      <c r="U32" s="33">
        <f>T32*(1+'Green+Social Interface'!$I$35)</f>
        <v>0</v>
      </c>
      <c r="V32" s="33">
        <f>U32*(1+'Green+Social Interface'!$I$35)</f>
        <v>0</v>
      </c>
      <c r="W32" s="33">
        <f>V32*(1+'Green+Social Interface'!$I$35)</f>
        <v>0</v>
      </c>
      <c r="X32" s="33">
        <f>W32*(1+'Green+Social Interface'!$I$35)</f>
        <v>0</v>
      </c>
      <c r="Y32" s="33">
        <f>X32*(1+'Green+Social Interface'!$I$35)</f>
        <v>0</v>
      </c>
      <c r="Z32" s="33">
        <f>Y32*(1+'Green+Social Interface'!$I$35)</f>
        <v>0</v>
      </c>
      <c r="AA32" s="33">
        <f>Z32*(1+'Green+Social Interface'!$I$35)</f>
        <v>0</v>
      </c>
      <c r="AB32" s="33">
        <f>AA32*(1+'Green+Social Interface'!$I$35)</f>
        <v>0</v>
      </c>
      <c r="AC32" s="33">
        <f>AB32*(1+'Green+Social Interface'!$I$35)</f>
        <v>0</v>
      </c>
      <c r="AD32" s="33">
        <f>AC32*(1+'Green+Social Interface'!$I$35)</f>
        <v>0</v>
      </c>
      <c r="AE32" s="33">
        <f>AD32*(1+'Green+Social Interface'!$I$35)</f>
        <v>0</v>
      </c>
      <c r="AF32" s="33">
        <f>AE32*(1+'Green+Social Interface'!$I$35)</f>
        <v>0</v>
      </c>
      <c r="AG32" s="33">
        <f>AF32*(1+'Green+Social Interface'!$I$35)</f>
        <v>0</v>
      </c>
      <c r="AH32" s="33">
        <f>AG32*(1+'Green+Social Interface'!$I$35)</f>
        <v>0</v>
      </c>
      <c r="AI32" s="33">
        <f>AH32*(1+'Green+Social Interface'!$I$35)</f>
        <v>0</v>
      </c>
      <c r="AJ32" s="33">
        <f>AI32*(1+'Green+Social Interface'!$I$35)</f>
        <v>0</v>
      </c>
      <c r="AK32" s="33">
        <f>AJ32*(1+'Green+Social Interface'!$I$35)</f>
        <v>0</v>
      </c>
      <c r="AL32" s="33">
        <f>AK32*(1+'Green+Social Interface'!$I$35)</f>
        <v>0</v>
      </c>
      <c r="AM32" s="33">
        <f>AL32*(1+'Green+Social Interface'!$I$35)</f>
        <v>0</v>
      </c>
      <c r="AN32" s="33">
        <f>AM32*(1+'Green+Social Interface'!$I$35)</f>
        <v>0</v>
      </c>
      <c r="AO32" s="33">
        <f>AN32*(1+'Green+Social Interface'!$I$35)</f>
        <v>0</v>
      </c>
      <c r="AP32" s="33">
        <f>AO32*(1+'Green+Social Interface'!$I$35)</f>
        <v>0</v>
      </c>
      <c r="AQ32" s="33">
        <f>AP32*(1+'Green+Social Interface'!$I$35)</f>
        <v>0</v>
      </c>
      <c r="AR32" s="33">
        <f>AQ32*(1+'Green+Social Interface'!$I$35)</f>
        <v>0</v>
      </c>
      <c r="AS32" s="33">
        <f>AR32*(1+'Green+Social Interface'!$I$35)</f>
        <v>0</v>
      </c>
      <c r="AT32" s="33">
        <f>AS32*(1+'Green+Social Interface'!$I$35)</f>
        <v>0</v>
      </c>
      <c r="AU32" s="33">
        <f>AT32*(1+'Green+Social Interface'!$I$35)</f>
        <v>0</v>
      </c>
      <c r="AV32" s="33">
        <f>AU32*(1+'Green+Social Interface'!$I$35)</f>
        <v>0</v>
      </c>
      <c r="AW32" s="33">
        <f>AV32*(1+'Green+Social Interface'!$I$35)</f>
        <v>0</v>
      </c>
      <c r="AX32" s="33">
        <f>AW32*(1+'Green+Social Interface'!$I$35)</f>
        <v>0</v>
      </c>
      <c r="AY32" s="33">
        <f>AX32*(1+'Green+Social Interface'!$I$35)</f>
        <v>0</v>
      </c>
      <c r="AZ32" s="33">
        <f>AY32*(1+'Green+Social Interface'!$I$35)</f>
        <v>0</v>
      </c>
      <c r="BA32" s="33">
        <f>AZ32*(1+'Green+Social Interface'!$I$35)</f>
        <v>0</v>
      </c>
    </row>
    <row r="33" spans="2:53" ht="15">
      <c r="B33" s="268"/>
      <c r="C33" s="25"/>
      <c r="D33" s="25"/>
      <c r="E33" s="26"/>
      <c r="F33" s="18"/>
      <c r="G33" s="27"/>
      <c r="H33" s="31"/>
      <c r="I33" s="21"/>
      <c r="J33" s="22"/>
      <c r="K33" s="32"/>
      <c r="L33" s="32"/>
      <c r="M33" s="152"/>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row>
    <row r="34" spans="2:53" ht="15">
      <c r="B34" s="268"/>
      <c r="C34" s="25"/>
      <c r="D34" s="25"/>
      <c r="E34" s="26"/>
      <c r="F34" s="18"/>
      <c r="G34" s="27"/>
      <c r="H34" s="31"/>
      <c r="I34" s="21"/>
      <c r="J34" s="22"/>
      <c r="K34" s="32"/>
      <c r="L34" s="32"/>
      <c r="M34" s="152"/>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row>
    <row r="35" spans="2:53" ht="15">
      <c r="B35" s="268" t="s">
        <v>631</v>
      </c>
      <c r="C35" s="25"/>
      <c r="D35" s="25" t="s">
        <v>71</v>
      </c>
      <c r="E35" s="26"/>
      <c r="F35" s="18"/>
      <c r="G35" s="27"/>
      <c r="H35" s="31"/>
      <c r="I35" s="21"/>
      <c r="J35" s="22"/>
      <c r="K35" s="32">
        <f t="shared" si="3"/>
        <v>0</v>
      </c>
      <c r="L35" s="32">
        <f aca="true" t="shared" si="7" ref="L35:L36">AVERAGE(N35:BA35)</f>
        <v>0</v>
      </c>
      <c r="M35" s="152">
        <f aca="true" t="shared" si="8" ref="M35:M36">SUM(N35:BA35)</f>
        <v>0</v>
      </c>
      <c r="N35" s="33">
        <f>SUM(N13:N22)</f>
        <v>0</v>
      </c>
      <c r="O35" s="33">
        <f aca="true" t="shared" si="9" ref="O35:BA35">SUM(O13:O22)</f>
        <v>0</v>
      </c>
      <c r="P35" s="33">
        <f t="shared" si="9"/>
        <v>0</v>
      </c>
      <c r="Q35" s="33">
        <f t="shared" si="9"/>
        <v>0</v>
      </c>
      <c r="R35" s="33">
        <f t="shared" si="9"/>
        <v>0</v>
      </c>
      <c r="S35" s="33">
        <f t="shared" si="9"/>
        <v>0</v>
      </c>
      <c r="T35" s="33">
        <f t="shared" si="9"/>
        <v>0</v>
      </c>
      <c r="U35" s="33">
        <f t="shared" si="9"/>
        <v>0</v>
      </c>
      <c r="V35" s="33">
        <f t="shared" si="9"/>
        <v>0</v>
      </c>
      <c r="W35" s="33">
        <f t="shared" si="9"/>
        <v>0</v>
      </c>
      <c r="X35" s="33">
        <f t="shared" si="9"/>
        <v>0</v>
      </c>
      <c r="Y35" s="33">
        <f t="shared" si="9"/>
        <v>0</v>
      </c>
      <c r="Z35" s="33">
        <f t="shared" si="9"/>
        <v>0</v>
      </c>
      <c r="AA35" s="33">
        <f t="shared" si="9"/>
        <v>0</v>
      </c>
      <c r="AB35" s="33">
        <f t="shared" si="9"/>
        <v>0</v>
      </c>
      <c r="AC35" s="33">
        <f t="shared" si="9"/>
        <v>0</v>
      </c>
      <c r="AD35" s="33">
        <f t="shared" si="9"/>
        <v>0</v>
      </c>
      <c r="AE35" s="33">
        <f t="shared" si="9"/>
        <v>0</v>
      </c>
      <c r="AF35" s="33">
        <f t="shared" si="9"/>
        <v>0</v>
      </c>
      <c r="AG35" s="33">
        <f t="shared" si="9"/>
        <v>0</v>
      </c>
      <c r="AH35" s="33">
        <f t="shared" si="9"/>
        <v>0</v>
      </c>
      <c r="AI35" s="33">
        <f t="shared" si="9"/>
        <v>0</v>
      </c>
      <c r="AJ35" s="33">
        <f t="shared" si="9"/>
        <v>0</v>
      </c>
      <c r="AK35" s="33">
        <f t="shared" si="9"/>
        <v>0</v>
      </c>
      <c r="AL35" s="33">
        <f t="shared" si="9"/>
        <v>0</v>
      </c>
      <c r="AM35" s="33">
        <f t="shared" si="9"/>
        <v>0</v>
      </c>
      <c r="AN35" s="33">
        <f t="shared" si="9"/>
        <v>0</v>
      </c>
      <c r="AO35" s="33">
        <f t="shared" si="9"/>
        <v>0</v>
      </c>
      <c r="AP35" s="33">
        <f t="shared" si="9"/>
        <v>0</v>
      </c>
      <c r="AQ35" s="33">
        <f t="shared" si="9"/>
        <v>0</v>
      </c>
      <c r="AR35" s="33">
        <f t="shared" si="9"/>
        <v>0</v>
      </c>
      <c r="AS35" s="33">
        <f t="shared" si="9"/>
        <v>0</v>
      </c>
      <c r="AT35" s="33">
        <f t="shared" si="9"/>
        <v>0</v>
      </c>
      <c r="AU35" s="33">
        <f t="shared" si="9"/>
        <v>0</v>
      </c>
      <c r="AV35" s="33">
        <f t="shared" si="9"/>
        <v>0</v>
      </c>
      <c r="AW35" s="33">
        <f t="shared" si="9"/>
        <v>0</v>
      </c>
      <c r="AX35" s="33">
        <f t="shared" si="9"/>
        <v>0</v>
      </c>
      <c r="AY35" s="33">
        <f t="shared" si="9"/>
        <v>0</v>
      </c>
      <c r="AZ35" s="33">
        <f t="shared" si="9"/>
        <v>0</v>
      </c>
      <c r="BA35" s="33">
        <f t="shared" si="9"/>
        <v>0</v>
      </c>
    </row>
    <row r="36" spans="2:53" ht="15">
      <c r="B36" s="268" t="s">
        <v>630</v>
      </c>
      <c r="C36" s="25"/>
      <c r="D36" s="25" t="s">
        <v>71</v>
      </c>
      <c r="E36" s="26"/>
      <c r="F36" s="18"/>
      <c r="G36" s="27"/>
      <c r="H36" s="31"/>
      <c r="I36" s="21"/>
      <c r="J36" s="22"/>
      <c r="K36" s="32">
        <f t="shared" si="3"/>
        <v>0</v>
      </c>
      <c r="L36" s="32">
        <f t="shared" si="7"/>
        <v>0</v>
      </c>
      <c r="M36" s="152">
        <f t="shared" si="8"/>
        <v>0</v>
      </c>
      <c r="N36" s="33">
        <f>SUM(N23:N32)</f>
        <v>0</v>
      </c>
      <c r="O36" s="33">
        <f aca="true" t="shared" si="10" ref="O36:BA36">SUM(O23:O32)</f>
        <v>0</v>
      </c>
      <c r="P36" s="33">
        <f t="shared" si="10"/>
        <v>0</v>
      </c>
      <c r="Q36" s="33">
        <f t="shared" si="10"/>
        <v>0</v>
      </c>
      <c r="R36" s="33">
        <f t="shared" si="10"/>
        <v>0</v>
      </c>
      <c r="S36" s="33">
        <f t="shared" si="10"/>
        <v>0</v>
      </c>
      <c r="T36" s="33">
        <f t="shared" si="10"/>
        <v>0</v>
      </c>
      <c r="U36" s="33">
        <f t="shared" si="10"/>
        <v>0</v>
      </c>
      <c r="V36" s="33">
        <f t="shared" si="10"/>
        <v>0</v>
      </c>
      <c r="W36" s="33">
        <f t="shared" si="10"/>
        <v>0</v>
      </c>
      <c r="X36" s="33">
        <f t="shared" si="10"/>
        <v>0</v>
      </c>
      <c r="Y36" s="33">
        <f t="shared" si="10"/>
        <v>0</v>
      </c>
      <c r="Z36" s="33">
        <f t="shared" si="10"/>
        <v>0</v>
      </c>
      <c r="AA36" s="33">
        <f t="shared" si="10"/>
        <v>0</v>
      </c>
      <c r="AB36" s="33">
        <f t="shared" si="10"/>
        <v>0</v>
      </c>
      <c r="AC36" s="33">
        <f t="shared" si="10"/>
        <v>0</v>
      </c>
      <c r="AD36" s="33">
        <f t="shared" si="10"/>
        <v>0</v>
      </c>
      <c r="AE36" s="33">
        <f t="shared" si="10"/>
        <v>0</v>
      </c>
      <c r="AF36" s="33">
        <f t="shared" si="10"/>
        <v>0</v>
      </c>
      <c r="AG36" s="33">
        <f t="shared" si="10"/>
        <v>0</v>
      </c>
      <c r="AH36" s="33">
        <f t="shared" si="10"/>
        <v>0</v>
      </c>
      <c r="AI36" s="33">
        <f t="shared" si="10"/>
        <v>0</v>
      </c>
      <c r="AJ36" s="33">
        <f t="shared" si="10"/>
        <v>0</v>
      </c>
      <c r="AK36" s="33">
        <f t="shared" si="10"/>
        <v>0</v>
      </c>
      <c r="AL36" s="33">
        <f t="shared" si="10"/>
        <v>0</v>
      </c>
      <c r="AM36" s="33">
        <f t="shared" si="10"/>
        <v>0</v>
      </c>
      <c r="AN36" s="33">
        <f t="shared" si="10"/>
        <v>0</v>
      </c>
      <c r="AO36" s="33">
        <f t="shared" si="10"/>
        <v>0</v>
      </c>
      <c r="AP36" s="33">
        <f t="shared" si="10"/>
        <v>0</v>
      </c>
      <c r="AQ36" s="33">
        <f t="shared" si="10"/>
        <v>0</v>
      </c>
      <c r="AR36" s="33">
        <f t="shared" si="10"/>
        <v>0</v>
      </c>
      <c r="AS36" s="33">
        <f t="shared" si="10"/>
        <v>0</v>
      </c>
      <c r="AT36" s="33">
        <f t="shared" si="10"/>
        <v>0</v>
      </c>
      <c r="AU36" s="33">
        <f t="shared" si="10"/>
        <v>0</v>
      </c>
      <c r="AV36" s="33">
        <f t="shared" si="10"/>
        <v>0</v>
      </c>
      <c r="AW36" s="33">
        <f t="shared" si="10"/>
        <v>0</v>
      </c>
      <c r="AX36" s="33">
        <f t="shared" si="10"/>
        <v>0</v>
      </c>
      <c r="AY36" s="33">
        <f t="shared" si="10"/>
        <v>0</v>
      </c>
      <c r="AZ36" s="33">
        <f t="shared" si="10"/>
        <v>0</v>
      </c>
      <c r="BA36" s="33">
        <f t="shared" si="10"/>
        <v>0</v>
      </c>
    </row>
    <row r="37" spans="2:53" ht="15">
      <c r="B37" s="24"/>
      <c r="C37" s="25" t="s">
        <v>72</v>
      </c>
      <c r="D37" s="25" t="s">
        <v>67</v>
      </c>
      <c r="E37" s="26">
        <v>277</v>
      </c>
      <c r="F37" s="18">
        <f>E37*VLOOKUP('Green+Social Interface'!$I$38,'Look-ups'!$A$15:$B$43,2,0)</f>
        <v>293.62</v>
      </c>
      <c r="G37" s="27">
        <v>0.25</v>
      </c>
      <c r="H37" s="31">
        <f>B$85</f>
        <v>0</v>
      </c>
      <c r="I37" s="21">
        <f>'Green+Social Interface'!$O$6</f>
        <v>0.07</v>
      </c>
      <c r="J37" s="22"/>
      <c r="K37" s="32">
        <f t="shared" si="3"/>
        <v>0</v>
      </c>
      <c r="L37" s="32">
        <f t="shared" si="4"/>
        <v>0</v>
      </c>
      <c r="M37" s="152">
        <f t="shared" si="5"/>
        <v>0</v>
      </c>
      <c r="N37" s="33">
        <f aca="true" t="shared" si="11" ref="N37:N45">H37*G37*F37</f>
        <v>0</v>
      </c>
      <c r="O37" s="33">
        <f>N37*(1+'Green+Social Interface'!$I$35)</f>
        <v>0</v>
      </c>
      <c r="P37" s="33">
        <f>O37*(1+'Green+Social Interface'!$I$35)</f>
        <v>0</v>
      </c>
      <c r="Q37" s="33">
        <f>P37*(1+'Green+Social Interface'!$I$35)</f>
        <v>0</v>
      </c>
      <c r="R37" s="33">
        <f>Q37*(1+'Green+Social Interface'!$I$35)</f>
        <v>0</v>
      </c>
      <c r="S37" s="33">
        <f>R37*(1+'Green+Social Interface'!$I$35)</f>
        <v>0</v>
      </c>
      <c r="T37" s="33">
        <f>S37*(1+'Green+Social Interface'!$I$35)</f>
        <v>0</v>
      </c>
      <c r="U37" s="33">
        <f>T37*(1+'Green+Social Interface'!$I$35)</f>
        <v>0</v>
      </c>
      <c r="V37" s="33">
        <f>U37*(1+'Green+Social Interface'!$I$35)</f>
        <v>0</v>
      </c>
      <c r="W37" s="33">
        <f>V37*(1+'Green+Social Interface'!$I$35)</f>
        <v>0</v>
      </c>
      <c r="X37" s="33">
        <f>W37*(1+'Green+Social Interface'!$I$35)</f>
        <v>0</v>
      </c>
      <c r="Y37" s="33">
        <f>X37*(1+'Green+Social Interface'!$I$35)</f>
        <v>0</v>
      </c>
      <c r="Z37" s="33">
        <f>Y37*(1+'Green+Social Interface'!$I$35)</f>
        <v>0</v>
      </c>
      <c r="AA37" s="33">
        <f>Z37*(1+'Green+Social Interface'!$I$35)</f>
        <v>0</v>
      </c>
      <c r="AB37" s="33">
        <f>AA37*(1+'Green+Social Interface'!$I$35)</f>
        <v>0</v>
      </c>
      <c r="AC37" s="33">
        <f>AB37*(1+'Green+Social Interface'!$I$35)</f>
        <v>0</v>
      </c>
      <c r="AD37" s="33">
        <f>AC37*(1+'Green+Social Interface'!$I$35)</f>
        <v>0</v>
      </c>
      <c r="AE37" s="33">
        <f>AD37*(1+'Green+Social Interface'!$I$35)</f>
        <v>0</v>
      </c>
      <c r="AF37" s="33">
        <f>AE37*(1+'Green+Social Interface'!$I$35)</f>
        <v>0</v>
      </c>
      <c r="AG37" s="33">
        <f>AF37*(1+'Green+Social Interface'!$I$35)</f>
        <v>0</v>
      </c>
      <c r="AH37" s="33">
        <f>AG37*(1+'Green+Social Interface'!$I$35)</f>
        <v>0</v>
      </c>
      <c r="AI37" s="33">
        <f>AH37*(1+'Green+Social Interface'!$I$35)</f>
        <v>0</v>
      </c>
      <c r="AJ37" s="33">
        <f>AI37*(1+'Green+Social Interface'!$I$35)</f>
        <v>0</v>
      </c>
      <c r="AK37" s="33">
        <f>AJ37*(1+'Green+Social Interface'!$I$35)</f>
        <v>0</v>
      </c>
      <c r="AL37" s="33">
        <f>AK37*(1+'Green+Social Interface'!$I$35)</f>
        <v>0</v>
      </c>
      <c r="AM37" s="33">
        <f>AL37*(1+'Green+Social Interface'!$I$35)</f>
        <v>0</v>
      </c>
      <c r="AN37" s="33">
        <f>AM37*(1+'Green+Social Interface'!$I$35)</f>
        <v>0</v>
      </c>
      <c r="AO37" s="33">
        <f>AN37*(1+'Green+Social Interface'!$I$35)</f>
        <v>0</v>
      </c>
      <c r="AP37" s="33">
        <f>AO37*(1+'Green+Social Interface'!$I$35)</f>
        <v>0</v>
      </c>
      <c r="AQ37" s="33">
        <f>AP37*(1+'Green+Social Interface'!$I$35)</f>
        <v>0</v>
      </c>
      <c r="AR37" s="33">
        <f>AQ37*(1+'Green+Social Interface'!$I$35)</f>
        <v>0</v>
      </c>
      <c r="AS37" s="33">
        <f>AR37*(1+'Green+Social Interface'!$I$35)</f>
        <v>0</v>
      </c>
      <c r="AT37" s="33">
        <f>AS37*(1+'Green+Social Interface'!$I$35)</f>
        <v>0</v>
      </c>
      <c r="AU37" s="33">
        <f>AT37*(1+'Green+Social Interface'!$I$35)</f>
        <v>0</v>
      </c>
      <c r="AV37" s="33">
        <f>AU37*(1+'Green+Social Interface'!$I$35)</f>
        <v>0</v>
      </c>
      <c r="AW37" s="33">
        <f>AV37*(1+'Green+Social Interface'!$I$35)</f>
        <v>0</v>
      </c>
      <c r="AX37" s="33">
        <f>AW37*(1+'Green+Social Interface'!$I$35)</f>
        <v>0</v>
      </c>
      <c r="AY37" s="33">
        <f>AX37*(1+'Green+Social Interface'!$I$35)</f>
        <v>0</v>
      </c>
      <c r="AZ37" s="33">
        <f>AY37*(1+'Green+Social Interface'!$I$35)</f>
        <v>0</v>
      </c>
      <c r="BA37" s="33">
        <f>AZ37*(1+'Green+Social Interface'!$I$35)</f>
        <v>0</v>
      </c>
    </row>
    <row r="38" spans="2:53" ht="15">
      <c r="B38" s="24"/>
      <c r="C38" s="25" t="s">
        <v>73</v>
      </c>
      <c r="D38" s="25" t="s">
        <v>71</v>
      </c>
      <c r="E38" s="34">
        <v>3430</v>
      </c>
      <c r="F38" s="18">
        <f>E38*VLOOKUP('Green+Social Interface'!$I$38,'Look-ups'!$A$15:$B$43,2,0)</f>
        <v>3635.8</v>
      </c>
      <c r="G38" s="27">
        <v>0.05</v>
      </c>
      <c r="H38" s="31">
        <f>H$135</f>
        <v>0</v>
      </c>
      <c r="I38" s="21">
        <f>'Green+Social Interface'!$O$6</f>
        <v>0.07</v>
      </c>
      <c r="J38" s="22"/>
      <c r="K38" s="32">
        <f t="shared" si="3"/>
        <v>0</v>
      </c>
      <c r="L38" s="32">
        <f t="shared" si="4"/>
        <v>0</v>
      </c>
      <c r="M38" s="152">
        <f t="shared" si="5"/>
        <v>0</v>
      </c>
      <c r="N38" s="33">
        <f>H38*G38*F38</f>
        <v>0</v>
      </c>
      <c r="O38" s="33">
        <f>N38*(1+'Green+Social Interface'!$I$35)</f>
        <v>0</v>
      </c>
      <c r="P38" s="33">
        <f>O38*(1+'Green+Social Interface'!$I$35)</f>
        <v>0</v>
      </c>
      <c r="Q38" s="33">
        <f>P38*(1+'Green+Social Interface'!$I$35)</f>
        <v>0</v>
      </c>
      <c r="R38" s="33">
        <f>Q38*(1+'Green+Social Interface'!$I$35)</f>
        <v>0</v>
      </c>
      <c r="S38" s="33">
        <f>R38*(1+'Green+Social Interface'!$I$35)</f>
        <v>0</v>
      </c>
      <c r="T38" s="33">
        <f>S38*(1+'Green+Social Interface'!$I$35)</f>
        <v>0</v>
      </c>
      <c r="U38" s="33">
        <f>T38*(1+'Green+Social Interface'!$I$35)</f>
        <v>0</v>
      </c>
      <c r="V38" s="33">
        <f>U38*(1+'Green+Social Interface'!$I$35)</f>
        <v>0</v>
      </c>
      <c r="W38" s="33">
        <f>V38*(1+'Green+Social Interface'!$I$35)</f>
        <v>0</v>
      </c>
      <c r="X38" s="33">
        <f>W38*(1+'Green+Social Interface'!$I$35)</f>
        <v>0</v>
      </c>
      <c r="Y38" s="33">
        <f>X38*(1+'Green+Social Interface'!$I$35)</f>
        <v>0</v>
      </c>
      <c r="Z38" s="33">
        <f>Y38*(1+'Green+Social Interface'!$I$35)</f>
        <v>0</v>
      </c>
      <c r="AA38" s="33">
        <f>Z38*(1+'Green+Social Interface'!$I$35)</f>
        <v>0</v>
      </c>
      <c r="AB38" s="33">
        <f>AA38*(1+'Green+Social Interface'!$I$35)</f>
        <v>0</v>
      </c>
      <c r="AC38" s="33">
        <f>AB38*(1+'Green+Social Interface'!$I$35)</f>
        <v>0</v>
      </c>
      <c r="AD38" s="33">
        <f>AC38*(1+'Green+Social Interface'!$I$35)</f>
        <v>0</v>
      </c>
      <c r="AE38" s="33">
        <f>AD38*(1+'Green+Social Interface'!$I$35)</f>
        <v>0</v>
      </c>
      <c r="AF38" s="33">
        <f>AE38*(1+'Green+Social Interface'!$I$35)</f>
        <v>0</v>
      </c>
      <c r="AG38" s="33">
        <f>AF38*(1+'Green+Social Interface'!$I$35)</f>
        <v>0</v>
      </c>
      <c r="AH38" s="33">
        <f>AG38*(1+'Green+Social Interface'!$I$35)</f>
        <v>0</v>
      </c>
      <c r="AI38" s="33">
        <f>AH38*(1+'Green+Social Interface'!$I$35)</f>
        <v>0</v>
      </c>
      <c r="AJ38" s="33">
        <f>AI38*(1+'Green+Social Interface'!$I$35)</f>
        <v>0</v>
      </c>
      <c r="AK38" s="33">
        <f>AJ38*(1+'Green+Social Interface'!$I$35)</f>
        <v>0</v>
      </c>
      <c r="AL38" s="33">
        <f>AK38*(1+'Green+Social Interface'!$I$35)</f>
        <v>0</v>
      </c>
      <c r="AM38" s="33">
        <f>AL38*(1+'Green+Social Interface'!$I$35)</f>
        <v>0</v>
      </c>
      <c r="AN38" s="33">
        <f>AM38*(1+'Green+Social Interface'!$I$35)</f>
        <v>0</v>
      </c>
      <c r="AO38" s="33">
        <f>AN38*(1+'Green+Social Interface'!$I$35)</f>
        <v>0</v>
      </c>
      <c r="AP38" s="33">
        <f>AO38*(1+'Green+Social Interface'!$I$35)</f>
        <v>0</v>
      </c>
      <c r="AQ38" s="33">
        <f>AP38*(1+'Green+Social Interface'!$I$35)</f>
        <v>0</v>
      </c>
      <c r="AR38" s="33">
        <f>AQ38*(1+'Green+Social Interface'!$I$35)</f>
        <v>0</v>
      </c>
      <c r="AS38" s="33">
        <f>AR38*(1+'Green+Social Interface'!$I$35)</f>
        <v>0</v>
      </c>
      <c r="AT38" s="33">
        <f>AS38*(1+'Green+Social Interface'!$I$35)</f>
        <v>0</v>
      </c>
      <c r="AU38" s="33">
        <f>AT38*(1+'Green+Social Interface'!$I$35)</f>
        <v>0</v>
      </c>
      <c r="AV38" s="33">
        <f>AU38*(1+'Green+Social Interface'!$I$35)</f>
        <v>0</v>
      </c>
      <c r="AW38" s="33">
        <f>AV38*(1+'Green+Social Interface'!$I$35)</f>
        <v>0</v>
      </c>
      <c r="AX38" s="33">
        <f>AW38*(1+'Green+Social Interface'!$I$35)</f>
        <v>0</v>
      </c>
      <c r="AY38" s="33">
        <f>AX38*(1+'Green+Social Interface'!$I$35)</f>
        <v>0</v>
      </c>
      <c r="AZ38" s="33">
        <f>AY38*(1+'Green+Social Interface'!$I$35)</f>
        <v>0</v>
      </c>
      <c r="BA38" s="33">
        <f>AZ38*(1+'Green+Social Interface'!$I$35)</f>
        <v>0</v>
      </c>
    </row>
    <row r="39" spans="2:53" ht="15">
      <c r="B39" s="24" t="s">
        <v>74</v>
      </c>
      <c r="C39" s="25" t="s">
        <v>75</v>
      </c>
      <c r="D39" s="25" t="s">
        <v>71</v>
      </c>
      <c r="E39" s="34">
        <v>0</v>
      </c>
      <c r="F39" s="18">
        <f>E39*VLOOKUP('Green+Social Interface'!$I$38,'Look-ups'!$A$15:$B$43,2,0)</f>
        <v>0</v>
      </c>
      <c r="G39" s="27">
        <v>0.04</v>
      </c>
      <c r="H39" s="31">
        <f>(0.5*H$138)+(0.3*H$139)</f>
        <v>0</v>
      </c>
      <c r="I39" s="21">
        <f>'Green+Social Interface'!$O$6</f>
        <v>0.07</v>
      </c>
      <c r="J39" s="22"/>
      <c r="K39" s="32">
        <f t="shared" si="3"/>
        <v>0</v>
      </c>
      <c r="L39" s="32">
        <f t="shared" si="4"/>
        <v>0</v>
      </c>
      <c r="M39" s="152">
        <f t="shared" si="5"/>
        <v>0</v>
      </c>
      <c r="N39" s="33">
        <f t="shared" si="11"/>
        <v>0</v>
      </c>
      <c r="O39" s="33">
        <f>N39*(1+'Green+Social Interface'!$I$35)</f>
        <v>0</v>
      </c>
      <c r="P39" s="33">
        <f>O39*(1+'Green+Social Interface'!$I$35)</f>
        <v>0</v>
      </c>
      <c r="Q39" s="33">
        <f>P39*(1+'Green+Social Interface'!$I$35)</f>
        <v>0</v>
      </c>
      <c r="R39" s="33">
        <f>Q39*(1+'Green+Social Interface'!$I$35)</f>
        <v>0</v>
      </c>
      <c r="S39" s="33">
        <f>R39*(1+'Green+Social Interface'!$I$35)</f>
        <v>0</v>
      </c>
      <c r="T39" s="33">
        <f>S39*(1+'Green+Social Interface'!$I$35)</f>
        <v>0</v>
      </c>
      <c r="U39" s="33">
        <f>T39*(1+'Green+Social Interface'!$I$35)</f>
        <v>0</v>
      </c>
      <c r="V39" s="33">
        <f>U39*(1+'Green+Social Interface'!$I$35)</f>
        <v>0</v>
      </c>
      <c r="W39" s="33">
        <f>V39*(1+'Green+Social Interface'!$I$35)</f>
        <v>0</v>
      </c>
      <c r="X39" s="33">
        <f>W39*(1+'Green+Social Interface'!$I$35)</f>
        <v>0</v>
      </c>
      <c r="Y39" s="33">
        <f>X39*(1+'Green+Social Interface'!$I$35)</f>
        <v>0</v>
      </c>
      <c r="Z39" s="33">
        <f>Y39*(1+'Green+Social Interface'!$I$35)</f>
        <v>0</v>
      </c>
      <c r="AA39" s="33">
        <f>Z39*(1+'Green+Social Interface'!$I$35)</f>
        <v>0</v>
      </c>
      <c r="AB39" s="33">
        <f>AA39*(1+'Green+Social Interface'!$I$35)</f>
        <v>0</v>
      </c>
      <c r="AC39" s="33">
        <f>AB39*(1+'Green+Social Interface'!$I$35)</f>
        <v>0</v>
      </c>
      <c r="AD39" s="33">
        <f>AC39*(1+'Green+Social Interface'!$I$35)</f>
        <v>0</v>
      </c>
      <c r="AE39" s="33">
        <f>AD39*(1+'Green+Social Interface'!$I$35)</f>
        <v>0</v>
      </c>
      <c r="AF39" s="33">
        <f>AE39*(1+'Green+Social Interface'!$I$35)</f>
        <v>0</v>
      </c>
      <c r="AG39" s="33">
        <f>AF39*(1+'Green+Social Interface'!$I$35)</f>
        <v>0</v>
      </c>
      <c r="AH39" s="33">
        <f>AG39*(1+'Green+Social Interface'!$I$35)</f>
        <v>0</v>
      </c>
      <c r="AI39" s="33">
        <f>AH39*(1+'Green+Social Interface'!$I$35)</f>
        <v>0</v>
      </c>
      <c r="AJ39" s="33">
        <f>AI39*(1+'Green+Social Interface'!$I$35)</f>
        <v>0</v>
      </c>
      <c r="AK39" s="33">
        <f>AJ39*(1+'Green+Social Interface'!$I$35)</f>
        <v>0</v>
      </c>
      <c r="AL39" s="33">
        <f>AK39*(1+'Green+Social Interface'!$I$35)</f>
        <v>0</v>
      </c>
      <c r="AM39" s="33">
        <f>AL39*(1+'Green+Social Interface'!$I$35)</f>
        <v>0</v>
      </c>
      <c r="AN39" s="33">
        <f>AM39*(1+'Green+Social Interface'!$I$35)</f>
        <v>0</v>
      </c>
      <c r="AO39" s="33">
        <f>AN39*(1+'Green+Social Interface'!$I$35)</f>
        <v>0</v>
      </c>
      <c r="AP39" s="33">
        <f>AO39*(1+'Green+Social Interface'!$I$35)</f>
        <v>0</v>
      </c>
      <c r="AQ39" s="33">
        <f>AP39*(1+'Green+Social Interface'!$I$35)</f>
        <v>0</v>
      </c>
      <c r="AR39" s="33">
        <f>AQ39*(1+'Green+Social Interface'!$I$35)</f>
        <v>0</v>
      </c>
      <c r="AS39" s="33">
        <f>AR39*(1+'Green+Social Interface'!$I$35)</f>
        <v>0</v>
      </c>
      <c r="AT39" s="33">
        <f>AS39*(1+'Green+Social Interface'!$I$35)</f>
        <v>0</v>
      </c>
      <c r="AU39" s="33">
        <f>AT39*(1+'Green+Social Interface'!$I$35)</f>
        <v>0</v>
      </c>
      <c r="AV39" s="33">
        <f>AU39*(1+'Green+Social Interface'!$I$35)</f>
        <v>0</v>
      </c>
      <c r="AW39" s="33">
        <f>AV39*(1+'Green+Social Interface'!$I$35)</f>
        <v>0</v>
      </c>
      <c r="AX39" s="33">
        <f>AW39*(1+'Green+Social Interface'!$I$35)</f>
        <v>0</v>
      </c>
      <c r="AY39" s="33">
        <f>AX39*(1+'Green+Social Interface'!$I$35)</f>
        <v>0</v>
      </c>
      <c r="AZ39" s="33">
        <f>AY39*(1+'Green+Social Interface'!$I$35)</f>
        <v>0</v>
      </c>
      <c r="BA39" s="33">
        <f>AZ39*(1+'Green+Social Interface'!$I$35)</f>
        <v>0</v>
      </c>
    </row>
    <row r="40" spans="2:54" ht="15">
      <c r="B40" s="24"/>
      <c r="C40" s="25" t="s">
        <v>76</v>
      </c>
      <c r="D40" s="25" t="s">
        <v>71</v>
      </c>
      <c r="E40" s="34">
        <v>5225</v>
      </c>
      <c r="F40" s="18">
        <f>E40*VLOOKUP('Green+Social Interface'!$I$38,'Look-ups'!$A$15:$B$43,2,0)</f>
        <v>5538.5</v>
      </c>
      <c r="G40" s="27">
        <v>0.06</v>
      </c>
      <c r="H40" s="31">
        <f>(0.5*H$138)+(0.3*H$139)</f>
        <v>0</v>
      </c>
      <c r="I40" s="21">
        <f>'Green+Social Interface'!$O$6</f>
        <v>0.07</v>
      </c>
      <c r="J40" s="22"/>
      <c r="K40" s="32">
        <f t="shared" si="3"/>
        <v>0</v>
      </c>
      <c r="L40" s="32">
        <f t="shared" si="4"/>
        <v>0</v>
      </c>
      <c r="M40" s="152">
        <f t="shared" si="5"/>
        <v>0</v>
      </c>
      <c r="N40" s="33">
        <f t="shared" si="11"/>
        <v>0</v>
      </c>
      <c r="O40" s="33">
        <f>N40*(1+'Green+Social Interface'!$I$35)</f>
        <v>0</v>
      </c>
      <c r="P40" s="33">
        <f>O40*(1+'Green+Social Interface'!$I$35)</f>
        <v>0</v>
      </c>
      <c r="Q40" s="33">
        <f>P40*(1+'Green+Social Interface'!$I$35)</f>
        <v>0</v>
      </c>
      <c r="R40" s="33">
        <f>Q40*(1+'Green+Social Interface'!$I$35)</f>
        <v>0</v>
      </c>
      <c r="S40" s="33">
        <f>R40*(1+'Green+Social Interface'!$I$35)</f>
        <v>0</v>
      </c>
      <c r="T40" s="33">
        <f>S40*(1+'Green+Social Interface'!$I$35)</f>
        <v>0</v>
      </c>
      <c r="U40" s="33">
        <f>T40*(1+'Green+Social Interface'!$I$35)</f>
        <v>0</v>
      </c>
      <c r="V40" s="33">
        <f>U40*(1+'Green+Social Interface'!$I$35)</f>
        <v>0</v>
      </c>
      <c r="W40" s="33">
        <f>V40*(1+'Green+Social Interface'!$I$35)</f>
        <v>0</v>
      </c>
      <c r="X40" s="33">
        <f>W40*(1+'Green+Social Interface'!$I$35)</f>
        <v>0</v>
      </c>
      <c r="Y40" s="33">
        <f>X40*(1+'Green+Social Interface'!$I$35)</f>
        <v>0</v>
      </c>
      <c r="Z40" s="33">
        <f>Y40*(1+'Green+Social Interface'!$I$35)</f>
        <v>0</v>
      </c>
      <c r="AA40" s="33">
        <f>Z40*(1+'Green+Social Interface'!$I$35)</f>
        <v>0</v>
      </c>
      <c r="AB40" s="33">
        <f>AA40*(1+'Green+Social Interface'!$I$35)</f>
        <v>0</v>
      </c>
      <c r="AC40" s="33">
        <f>AB40*(1+'Green+Social Interface'!$I$35)</f>
        <v>0</v>
      </c>
      <c r="AD40" s="33">
        <f>AC40*(1+'Green+Social Interface'!$I$35)</f>
        <v>0</v>
      </c>
      <c r="AE40" s="33">
        <f>AD40*(1+'Green+Social Interface'!$I$35)</f>
        <v>0</v>
      </c>
      <c r="AF40" s="33">
        <f>AE40*(1+'Green+Social Interface'!$I$35)</f>
        <v>0</v>
      </c>
      <c r="AG40" s="33">
        <f>AF40*(1+'Green+Social Interface'!$I$35)</f>
        <v>0</v>
      </c>
      <c r="AH40" s="33">
        <f>AG40*(1+'Green+Social Interface'!$I$35)</f>
        <v>0</v>
      </c>
      <c r="AI40" s="33">
        <f>AH40*(1+'Green+Social Interface'!$I$35)</f>
        <v>0</v>
      </c>
      <c r="AJ40" s="33">
        <f>AI40*(1+'Green+Social Interface'!$I$35)</f>
        <v>0</v>
      </c>
      <c r="AK40" s="33">
        <f>AJ40*(1+'Green+Social Interface'!$I$35)</f>
        <v>0</v>
      </c>
      <c r="AL40" s="33">
        <f>AK40*(1+'Green+Social Interface'!$I$35)</f>
        <v>0</v>
      </c>
      <c r="AM40" s="33">
        <f>AL40*(1+'Green+Social Interface'!$I$35)</f>
        <v>0</v>
      </c>
      <c r="AN40" s="33">
        <f>AM40*(1+'Green+Social Interface'!$I$35)</f>
        <v>0</v>
      </c>
      <c r="AO40" s="33">
        <f>AN40*(1+'Green+Social Interface'!$I$35)</f>
        <v>0</v>
      </c>
      <c r="AP40" s="33">
        <f>AO40*(1+'Green+Social Interface'!$I$35)</f>
        <v>0</v>
      </c>
      <c r="AQ40" s="33">
        <f>AP40*(1+'Green+Social Interface'!$I$35)</f>
        <v>0</v>
      </c>
      <c r="AR40" s="33">
        <f>AQ40*(1+'Green+Social Interface'!$I$35)</f>
        <v>0</v>
      </c>
      <c r="AS40" s="33">
        <f>AR40*(1+'Green+Social Interface'!$I$35)</f>
        <v>0</v>
      </c>
      <c r="AT40" s="33">
        <f>AS40*(1+'Green+Social Interface'!$I$35)</f>
        <v>0</v>
      </c>
      <c r="AU40" s="33">
        <f>AT40*(1+'Green+Social Interface'!$I$35)</f>
        <v>0</v>
      </c>
      <c r="AV40" s="33">
        <f>AU40*(1+'Green+Social Interface'!$I$35)</f>
        <v>0</v>
      </c>
      <c r="AW40" s="33">
        <f>AV40*(1+'Green+Social Interface'!$I$35)</f>
        <v>0</v>
      </c>
      <c r="AX40" s="33">
        <f>AW40*(1+'Green+Social Interface'!$I$35)</f>
        <v>0</v>
      </c>
      <c r="AY40" s="33">
        <f>AX40*(1+'Green+Social Interface'!$I$35)</f>
        <v>0</v>
      </c>
      <c r="AZ40" s="33">
        <f>AY40*(1+'Green+Social Interface'!$I$35)</f>
        <v>0</v>
      </c>
      <c r="BA40" s="33">
        <f>AZ40*(1+'Green+Social Interface'!$I$35)</f>
        <v>0</v>
      </c>
      <c r="BB40" t="s">
        <v>577</v>
      </c>
    </row>
    <row r="41" spans="2:53" ht="15">
      <c r="B41" s="24"/>
      <c r="C41" s="25" t="s">
        <v>77</v>
      </c>
      <c r="D41" s="25" t="s">
        <v>67</v>
      </c>
      <c r="E41" s="34">
        <v>0</v>
      </c>
      <c r="F41" s="18">
        <f>E41*VLOOKUP('Green+Social Interface'!$I$38,'Look-ups'!$A$15:$B$43,2,0)</f>
        <v>0</v>
      </c>
      <c r="G41" s="27">
        <v>0.04</v>
      </c>
      <c r="H41" s="31">
        <f>(0.5*H$138)+(0.3*H$139)</f>
        <v>0</v>
      </c>
      <c r="I41" s="21">
        <f>'Green+Social Interface'!$O$6</f>
        <v>0.07</v>
      </c>
      <c r="J41" s="22"/>
      <c r="K41" s="32">
        <f t="shared" si="3"/>
        <v>0</v>
      </c>
      <c r="L41" s="32">
        <f t="shared" si="4"/>
        <v>0</v>
      </c>
      <c r="M41" s="152">
        <f>SUM(N41:BA41)</f>
        <v>0</v>
      </c>
      <c r="N41" s="33">
        <f t="shared" si="11"/>
        <v>0</v>
      </c>
      <c r="O41" s="33">
        <f>N41*(1+'Green+Social Interface'!$I$35)</f>
        <v>0</v>
      </c>
      <c r="P41" s="33">
        <f>O41*(1+'Green+Social Interface'!$I$35)</f>
        <v>0</v>
      </c>
      <c r="Q41" s="33">
        <f>P41*(1+'Green+Social Interface'!$I$35)</f>
        <v>0</v>
      </c>
      <c r="R41" s="33">
        <f>Q41*(1+'Green+Social Interface'!$I$35)</f>
        <v>0</v>
      </c>
      <c r="S41" s="33">
        <f>R41*(1+'Green+Social Interface'!$I$35)</f>
        <v>0</v>
      </c>
      <c r="T41" s="33">
        <f>S41*(1+'Green+Social Interface'!$I$35)</f>
        <v>0</v>
      </c>
      <c r="U41" s="33">
        <f>T41*(1+'Green+Social Interface'!$I$35)</f>
        <v>0</v>
      </c>
      <c r="V41" s="33">
        <f>U41*(1+'Green+Social Interface'!$I$35)</f>
        <v>0</v>
      </c>
      <c r="W41" s="33">
        <f>V41*(1+'Green+Social Interface'!$I$35)</f>
        <v>0</v>
      </c>
      <c r="X41" s="33">
        <f>W41*(1+'Green+Social Interface'!$I$35)</f>
        <v>0</v>
      </c>
      <c r="Y41" s="33">
        <f>X41*(1+'Green+Social Interface'!$I$35)</f>
        <v>0</v>
      </c>
      <c r="Z41" s="33">
        <f>Y41*(1+'Green+Social Interface'!$I$35)</f>
        <v>0</v>
      </c>
      <c r="AA41" s="33">
        <f>Z41*(1+'Green+Social Interface'!$I$35)</f>
        <v>0</v>
      </c>
      <c r="AB41" s="33">
        <f>AA41*(1+'Green+Social Interface'!$I$35)</f>
        <v>0</v>
      </c>
      <c r="AC41" s="33">
        <f>AB41*(1+'Green+Social Interface'!$I$35)</f>
        <v>0</v>
      </c>
      <c r="AD41" s="33">
        <f>AC41*(1+'Green+Social Interface'!$I$35)</f>
        <v>0</v>
      </c>
      <c r="AE41" s="33">
        <f>AD41*(1+'Green+Social Interface'!$I$35)</f>
        <v>0</v>
      </c>
      <c r="AF41" s="33">
        <f>AE41*(1+'Green+Social Interface'!$I$35)</f>
        <v>0</v>
      </c>
      <c r="AG41" s="33">
        <f>AF41*(1+'Green+Social Interface'!$I$35)</f>
        <v>0</v>
      </c>
      <c r="AH41" s="33">
        <f>AG41*(1+'Green+Social Interface'!$I$35)</f>
        <v>0</v>
      </c>
      <c r="AI41" s="33">
        <f>AH41*(1+'Green+Social Interface'!$I$35)</f>
        <v>0</v>
      </c>
      <c r="AJ41" s="33">
        <f>AI41*(1+'Green+Social Interface'!$I$35)</f>
        <v>0</v>
      </c>
      <c r="AK41" s="33">
        <f>AJ41*(1+'Green+Social Interface'!$I$35)</f>
        <v>0</v>
      </c>
      <c r="AL41" s="33">
        <f>AK41*(1+'Green+Social Interface'!$I$35)</f>
        <v>0</v>
      </c>
      <c r="AM41" s="33">
        <f>AL41*(1+'Green+Social Interface'!$I$35)</f>
        <v>0</v>
      </c>
      <c r="AN41" s="33">
        <f>AM41*(1+'Green+Social Interface'!$I$35)</f>
        <v>0</v>
      </c>
      <c r="AO41" s="33">
        <f>AN41*(1+'Green+Social Interface'!$I$35)</f>
        <v>0</v>
      </c>
      <c r="AP41" s="33">
        <f>AO41*(1+'Green+Social Interface'!$I$35)</f>
        <v>0</v>
      </c>
      <c r="AQ41" s="33">
        <f>AP41*(1+'Green+Social Interface'!$I$35)</f>
        <v>0</v>
      </c>
      <c r="AR41" s="33">
        <f>AQ41*(1+'Green+Social Interface'!$I$35)</f>
        <v>0</v>
      </c>
      <c r="AS41" s="33">
        <f>AR41*(1+'Green+Social Interface'!$I$35)</f>
        <v>0</v>
      </c>
      <c r="AT41" s="33">
        <f>AS41*(1+'Green+Social Interface'!$I$35)</f>
        <v>0</v>
      </c>
      <c r="AU41" s="33">
        <f>AT41*(1+'Green+Social Interface'!$I$35)</f>
        <v>0</v>
      </c>
      <c r="AV41" s="33">
        <f>AU41*(1+'Green+Social Interface'!$I$35)</f>
        <v>0</v>
      </c>
      <c r="AW41" s="33">
        <f>AV41*(1+'Green+Social Interface'!$I$35)</f>
        <v>0</v>
      </c>
      <c r="AX41" s="33">
        <f>AW41*(1+'Green+Social Interface'!$I$35)</f>
        <v>0</v>
      </c>
      <c r="AY41" s="33">
        <f>AX41*(1+'Green+Social Interface'!$I$35)</f>
        <v>0</v>
      </c>
      <c r="AZ41" s="33">
        <f>AY41*(1+'Green+Social Interface'!$I$35)</f>
        <v>0</v>
      </c>
      <c r="BA41" s="33">
        <f>AZ41*(1+'Green+Social Interface'!$I$35)</f>
        <v>0</v>
      </c>
    </row>
    <row r="42" spans="2:53" ht="15">
      <c r="B42" s="24"/>
      <c r="C42" s="25" t="s">
        <v>78</v>
      </c>
      <c r="D42" s="25" t="s">
        <v>67</v>
      </c>
      <c r="E42" s="34">
        <v>1371</v>
      </c>
      <c r="F42" s="18">
        <f>E42*VLOOKUP('Green+Social Interface'!$I$38,'Look-ups'!$A$15:$B$43,2,0)</f>
        <v>1453.26</v>
      </c>
      <c r="G42" s="27">
        <v>0.06</v>
      </c>
      <c r="H42" s="31">
        <f>(0.5*H$138)+(0.3*H$139)</f>
        <v>0</v>
      </c>
      <c r="I42" s="21">
        <f>'Green+Social Interface'!$O$6</f>
        <v>0.07</v>
      </c>
      <c r="J42" s="22"/>
      <c r="K42" s="32">
        <f t="shared" si="3"/>
        <v>0</v>
      </c>
      <c r="L42" s="32">
        <f t="shared" si="4"/>
        <v>0</v>
      </c>
      <c r="M42" s="152">
        <f t="shared" si="5"/>
        <v>0</v>
      </c>
      <c r="N42" s="33">
        <f t="shared" si="11"/>
        <v>0</v>
      </c>
      <c r="O42" s="33">
        <f>N42*(1+'Green+Social Interface'!$I$35)</f>
        <v>0</v>
      </c>
      <c r="P42" s="33">
        <f>O42*(1+'Green+Social Interface'!$I$35)</f>
        <v>0</v>
      </c>
      <c r="Q42" s="33">
        <f>P42*(1+'Green+Social Interface'!$I$35)</f>
        <v>0</v>
      </c>
      <c r="R42" s="33">
        <f>Q42*(1+'Green+Social Interface'!$I$35)</f>
        <v>0</v>
      </c>
      <c r="S42" s="33">
        <f>R42*(1+'Green+Social Interface'!$I$35)</f>
        <v>0</v>
      </c>
      <c r="T42" s="33">
        <f>S42*(1+'Green+Social Interface'!$I$35)</f>
        <v>0</v>
      </c>
      <c r="U42" s="33">
        <f>T42*(1+'Green+Social Interface'!$I$35)</f>
        <v>0</v>
      </c>
      <c r="V42" s="33">
        <f>U42*(1+'Green+Social Interface'!$I$35)</f>
        <v>0</v>
      </c>
      <c r="W42" s="33">
        <f>V42*(1+'Green+Social Interface'!$I$35)</f>
        <v>0</v>
      </c>
      <c r="X42" s="33">
        <f>W42*(1+'Green+Social Interface'!$I$35)</f>
        <v>0</v>
      </c>
      <c r="Y42" s="33">
        <f>X42*(1+'Green+Social Interface'!$I$35)</f>
        <v>0</v>
      </c>
      <c r="Z42" s="33">
        <f>Y42*(1+'Green+Social Interface'!$I$35)</f>
        <v>0</v>
      </c>
      <c r="AA42" s="33">
        <f>Z42*(1+'Green+Social Interface'!$I$35)</f>
        <v>0</v>
      </c>
      <c r="AB42" s="33">
        <f>AA42*(1+'Green+Social Interface'!$I$35)</f>
        <v>0</v>
      </c>
      <c r="AC42" s="33">
        <f>AB42*(1+'Green+Social Interface'!$I$35)</f>
        <v>0</v>
      </c>
      <c r="AD42" s="33">
        <f>AC42*(1+'Green+Social Interface'!$I$35)</f>
        <v>0</v>
      </c>
      <c r="AE42" s="33">
        <f>AD42*(1+'Green+Social Interface'!$I$35)</f>
        <v>0</v>
      </c>
      <c r="AF42" s="33">
        <f>AE42*(1+'Green+Social Interface'!$I$35)</f>
        <v>0</v>
      </c>
      <c r="AG42" s="33">
        <f>AF42*(1+'Green+Social Interface'!$I$35)</f>
        <v>0</v>
      </c>
      <c r="AH42" s="33">
        <f>AG42*(1+'Green+Social Interface'!$I$35)</f>
        <v>0</v>
      </c>
      <c r="AI42" s="33">
        <f>AH42*(1+'Green+Social Interface'!$I$35)</f>
        <v>0</v>
      </c>
      <c r="AJ42" s="33">
        <f>AI42*(1+'Green+Social Interface'!$I$35)</f>
        <v>0</v>
      </c>
      <c r="AK42" s="33">
        <f>AJ42*(1+'Green+Social Interface'!$I$35)</f>
        <v>0</v>
      </c>
      <c r="AL42" s="33">
        <f>AK42*(1+'Green+Social Interface'!$I$35)</f>
        <v>0</v>
      </c>
      <c r="AM42" s="33">
        <f>AL42*(1+'Green+Social Interface'!$I$35)</f>
        <v>0</v>
      </c>
      <c r="AN42" s="33">
        <f>AM42*(1+'Green+Social Interface'!$I$35)</f>
        <v>0</v>
      </c>
      <c r="AO42" s="33">
        <f>AN42*(1+'Green+Social Interface'!$I$35)</f>
        <v>0</v>
      </c>
      <c r="AP42" s="33">
        <f>AO42*(1+'Green+Social Interface'!$I$35)</f>
        <v>0</v>
      </c>
      <c r="AQ42" s="33">
        <f>AP42*(1+'Green+Social Interface'!$I$35)</f>
        <v>0</v>
      </c>
      <c r="AR42" s="33">
        <f>AQ42*(1+'Green+Social Interface'!$I$35)</f>
        <v>0</v>
      </c>
      <c r="AS42" s="33">
        <f>AR42*(1+'Green+Social Interface'!$I$35)</f>
        <v>0</v>
      </c>
      <c r="AT42" s="33">
        <f>AS42*(1+'Green+Social Interface'!$I$35)</f>
        <v>0</v>
      </c>
      <c r="AU42" s="33">
        <f>AT42*(1+'Green+Social Interface'!$I$35)</f>
        <v>0</v>
      </c>
      <c r="AV42" s="33">
        <f>AU42*(1+'Green+Social Interface'!$I$35)</f>
        <v>0</v>
      </c>
      <c r="AW42" s="33">
        <f>AV42*(1+'Green+Social Interface'!$I$35)</f>
        <v>0</v>
      </c>
      <c r="AX42" s="33">
        <f>AW42*(1+'Green+Social Interface'!$I$35)</f>
        <v>0</v>
      </c>
      <c r="AY42" s="33">
        <f>AX42*(1+'Green+Social Interface'!$I$35)</f>
        <v>0</v>
      </c>
      <c r="AZ42" s="33">
        <f>AY42*(1+'Green+Social Interface'!$I$35)</f>
        <v>0</v>
      </c>
      <c r="BA42" s="33">
        <f>AZ42*(1+'Green+Social Interface'!$I$35)</f>
        <v>0</v>
      </c>
    </row>
    <row r="43" spans="2:53" ht="15">
      <c r="B43" s="24"/>
      <c r="C43" s="25" t="s">
        <v>574</v>
      </c>
      <c r="D43" s="25" t="s">
        <v>67</v>
      </c>
      <c r="E43" s="34">
        <v>13554</v>
      </c>
      <c r="F43" s="18">
        <f>E43*VLOOKUP('Green+Social Interface'!$I$38,'Look-ups'!$A$15:$B$43,2,0)</f>
        <v>14367.240000000002</v>
      </c>
      <c r="G43" s="27">
        <v>1</v>
      </c>
      <c r="H43" s="31">
        <f>'Green+Social Interface'!$E$10+'Green+Social Interface'!$F$10</f>
        <v>0</v>
      </c>
      <c r="I43" s="21">
        <f>'Green+Social Interface'!$O$6</f>
        <v>0.07</v>
      </c>
      <c r="J43" s="22"/>
      <c r="K43" s="32">
        <f>IF(AND($L$43&gt;0,$B$85&gt;0),$L$43/$B$85,0)</f>
        <v>0</v>
      </c>
      <c r="L43" s="32">
        <f t="shared" si="4"/>
        <v>0</v>
      </c>
      <c r="M43" s="152">
        <f t="shared" si="5"/>
        <v>0</v>
      </c>
      <c r="N43" s="33">
        <f>H43*G43*F43</f>
        <v>0</v>
      </c>
      <c r="O43" s="33">
        <f>N43*(1+'Green+Social Interface'!$I$35)*I43</f>
        <v>0</v>
      </c>
      <c r="P43" s="33">
        <f>O43*(1+'Green+Social Interface'!$I$35)</f>
        <v>0</v>
      </c>
      <c r="Q43" s="33">
        <f>P43*(1+'Green+Social Interface'!$I$35)</f>
        <v>0</v>
      </c>
      <c r="R43" s="33">
        <f>Q43*(1+'Green+Social Interface'!$I$35)</f>
        <v>0</v>
      </c>
      <c r="S43" s="33">
        <f>R43*(1+'Green+Social Interface'!$I$35)</f>
        <v>0</v>
      </c>
      <c r="T43" s="33">
        <f>S43*(1+'Green+Social Interface'!$I$35)</f>
        <v>0</v>
      </c>
      <c r="U43" s="33">
        <f>T43*(1+'Green+Social Interface'!$I$35)</f>
        <v>0</v>
      </c>
      <c r="V43" s="33">
        <f>U43*(1+'Green+Social Interface'!$I$35)</f>
        <v>0</v>
      </c>
      <c r="W43" s="33">
        <f>V43*(1+'Green+Social Interface'!$I$35)</f>
        <v>0</v>
      </c>
      <c r="X43" s="33">
        <f>W43*(1+'Green+Social Interface'!$I$35)</f>
        <v>0</v>
      </c>
      <c r="Y43" s="33">
        <f>X43*(1+'Green+Social Interface'!$I$35)</f>
        <v>0</v>
      </c>
      <c r="Z43" s="33">
        <f>Y43*(1+'Green+Social Interface'!$I$35)</f>
        <v>0</v>
      </c>
      <c r="AA43" s="33">
        <f>Z43*(1+'Green+Social Interface'!$I$35)</f>
        <v>0</v>
      </c>
      <c r="AB43" s="33">
        <f>AA43*(1+'Green+Social Interface'!$I$35)</f>
        <v>0</v>
      </c>
      <c r="AC43" s="33">
        <f>AB43*(1+'Green+Social Interface'!$I$35)</f>
        <v>0</v>
      </c>
      <c r="AD43" s="33">
        <f>AC43*(1+'Green+Social Interface'!$I$35)</f>
        <v>0</v>
      </c>
      <c r="AE43" s="33">
        <f>AD43*(1+'Green+Social Interface'!$I$35)</f>
        <v>0</v>
      </c>
      <c r="AF43" s="33">
        <f>AE43*(1+'Green+Social Interface'!$I$35)</f>
        <v>0</v>
      </c>
      <c r="AG43" s="33">
        <f>AF43*(1+'Green+Social Interface'!$I$35)</f>
        <v>0</v>
      </c>
      <c r="AH43" s="33">
        <f>AG43*(1+'Green+Social Interface'!$I$35)</f>
        <v>0</v>
      </c>
      <c r="AI43" s="33">
        <f>AH43*(1+'Green+Social Interface'!$I$35)</f>
        <v>0</v>
      </c>
      <c r="AJ43" s="33">
        <f>AI43*(1+'Green+Social Interface'!$I$35)</f>
        <v>0</v>
      </c>
      <c r="AK43" s="33">
        <f>AJ43*(1+'Green+Social Interface'!$I$35)</f>
        <v>0</v>
      </c>
      <c r="AL43" s="33">
        <f>AK43*(1+'Green+Social Interface'!$I$35)</f>
        <v>0</v>
      </c>
      <c r="AM43" s="33">
        <f>AL43*(1+'Green+Social Interface'!$I$35)</f>
        <v>0</v>
      </c>
      <c r="AN43" s="33">
        <f>AM43*(1+'Green+Social Interface'!$I$35)</f>
        <v>0</v>
      </c>
      <c r="AO43" s="33">
        <f>AN43*(1+'Green+Social Interface'!$I$35)</f>
        <v>0</v>
      </c>
      <c r="AP43" s="33">
        <f>AO43*(1+'Green+Social Interface'!$I$35)</f>
        <v>0</v>
      </c>
      <c r="AQ43" s="33">
        <f>AP43*(1+'Green+Social Interface'!$I$35)</f>
        <v>0</v>
      </c>
      <c r="AR43" s="33">
        <f>AQ43*(1+'Green+Social Interface'!$I$35)</f>
        <v>0</v>
      </c>
      <c r="AS43" s="33">
        <f>AR43*(1+'Green+Social Interface'!$I$35)</f>
        <v>0</v>
      </c>
      <c r="AT43" s="33">
        <f>AS43*(1+'Green+Social Interface'!$I$35)</f>
        <v>0</v>
      </c>
      <c r="AU43" s="33">
        <f>AT43*(1+'Green+Social Interface'!$I$35)</f>
        <v>0</v>
      </c>
      <c r="AV43" s="33">
        <f>AU43*(1+'Green+Social Interface'!$I$35)</f>
        <v>0</v>
      </c>
      <c r="AW43" s="33">
        <f>AV43*(1+'Green+Social Interface'!$I$35)</f>
        <v>0</v>
      </c>
      <c r="AX43" s="33">
        <f>AW43*(1+'Green+Social Interface'!$I$35)</f>
        <v>0</v>
      </c>
      <c r="AY43" s="33">
        <f>AX43*(1+'Green+Social Interface'!$I$35)</f>
        <v>0</v>
      </c>
      <c r="AZ43" s="33">
        <f>AY43*(1+'Green+Social Interface'!$I$35)</f>
        <v>0</v>
      </c>
      <c r="BA43" s="33">
        <f>AZ43*(1+'Green+Social Interface'!$I$35)</f>
        <v>0</v>
      </c>
    </row>
    <row r="44" spans="2:53" ht="15">
      <c r="B44" s="66"/>
      <c r="C44" s="67" t="s">
        <v>573</v>
      </c>
      <c r="D44" s="67" t="s">
        <v>67</v>
      </c>
      <c r="E44" s="315">
        <v>530</v>
      </c>
      <c r="F44" s="18">
        <f>E44*VLOOKUP('Green+Social Interface'!$I$38,'Look-ups'!$A$15:$B$43,2,0)</f>
        <v>561.8000000000001</v>
      </c>
      <c r="G44" s="69">
        <v>1</v>
      </c>
      <c r="H44" s="31">
        <f>'Green+Social Interface'!$E$10+'Green+Social Interface'!$F$10</f>
        <v>0</v>
      </c>
      <c r="I44" s="21">
        <v>0.08</v>
      </c>
      <c r="J44" s="22"/>
      <c r="K44" s="32">
        <f>IF(AND($L$43&gt;0,$B$85&gt;0),$L$43/$B$85,0)</f>
        <v>0</v>
      </c>
      <c r="L44" s="32">
        <f aca="true" t="shared" si="12" ref="L44">AVERAGE(N44:BA44)</f>
        <v>0</v>
      </c>
      <c r="M44" s="152">
        <f aca="true" t="shared" si="13" ref="M44">SUM(N44:BA44)</f>
        <v>0</v>
      </c>
      <c r="N44" s="33">
        <f>H44*G44*F44</f>
        <v>0</v>
      </c>
      <c r="O44" s="33">
        <f>N44*(1+'Green+Social Interface'!$I$35)</f>
        <v>0</v>
      </c>
      <c r="P44" s="33">
        <f>O44*(1+'Green+Social Interface'!$I$35)</f>
        <v>0</v>
      </c>
      <c r="Q44" s="33">
        <f>P44*(1+'Green+Social Interface'!$I$35)</f>
        <v>0</v>
      </c>
      <c r="R44" s="33">
        <f>Q44*(1+'Green+Social Interface'!$I$35)</f>
        <v>0</v>
      </c>
      <c r="S44" s="33">
        <f>R44*(1+'Green+Social Interface'!$I$35)</f>
        <v>0</v>
      </c>
      <c r="T44" s="33">
        <f>S44*(1+'Green+Social Interface'!$I$35)</f>
        <v>0</v>
      </c>
      <c r="U44" s="33">
        <f>T44*(1+'Green+Social Interface'!$I$35)</f>
        <v>0</v>
      </c>
      <c r="V44" s="33">
        <f>U44*(1+'Green+Social Interface'!$I$35)</f>
        <v>0</v>
      </c>
      <c r="W44" s="33">
        <f>V44*(1+'Green+Social Interface'!$I$35)</f>
        <v>0</v>
      </c>
      <c r="X44" s="33">
        <f>W44*(1+'Green+Social Interface'!$I$35)</f>
        <v>0</v>
      </c>
      <c r="Y44" s="33">
        <f>X44*(1+'Green+Social Interface'!$I$35)</f>
        <v>0</v>
      </c>
      <c r="Z44" s="33">
        <f>Y44*(1+'Green+Social Interface'!$I$35)</f>
        <v>0</v>
      </c>
      <c r="AA44" s="33">
        <f>Z44*(1+'Green+Social Interface'!$I$35)</f>
        <v>0</v>
      </c>
      <c r="AB44" s="33">
        <f>AA44*(1+'Green+Social Interface'!$I$35)</f>
        <v>0</v>
      </c>
      <c r="AC44" s="33">
        <f>AB44*(1+'Green+Social Interface'!$I$35)</f>
        <v>0</v>
      </c>
      <c r="AD44" s="33">
        <f>AC44*(1+'Green+Social Interface'!$I$35)</f>
        <v>0</v>
      </c>
      <c r="AE44" s="33">
        <f>AD44*(1+'Green+Social Interface'!$I$35)</f>
        <v>0</v>
      </c>
      <c r="AF44" s="33">
        <f>AE44*(1+'Green+Social Interface'!$I$35)</f>
        <v>0</v>
      </c>
      <c r="AG44" s="33">
        <f>AF44*(1+'Green+Social Interface'!$I$35)</f>
        <v>0</v>
      </c>
      <c r="AH44" s="33">
        <f>AG44*(1+'Green+Social Interface'!$I$35)</f>
        <v>0</v>
      </c>
      <c r="AI44" s="33">
        <f>AH44*(1+'Green+Social Interface'!$I$35)</f>
        <v>0</v>
      </c>
      <c r="AJ44" s="33">
        <f>AI44*(1+'Green+Social Interface'!$I$35)</f>
        <v>0</v>
      </c>
      <c r="AK44" s="33">
        <f>AJ44*(1+'Green+Social Interface'!$I$35)</f>
        <v>0</v>
      </c>
      <c r="AL44" s="33">
        <f>AK44*(1+'Green+Social Interface'!$I$35)</f>
        <v>0</v>
      </c>
      <c r="AM44" s="33">
        <f>AL44*(1+'Green+Social Interface'!$I$35)</f>
        <v>0</v>
      </c>
      <c r="AN44" s="33">
        <f>AM44*(1+'Green+Social Interface'!$I$35)</f>
        <v>0</v>
      </c>
      <c r="AO44" s="33">
        <f>AN44*(1+'Green+Social Interface'!$I$35)</f>
        <v>0</v>
      </c>
      <c r="AP44" s="33">
        <f>AO44*(1+'Green+Social Interface'!$I$35)</f>
        <v>0</v>
      </c>
      <c r="AQ44" s="33">
        <f>AP44*(1+'Green+Social Interface'!$I$35)</f>
        <v>0</v>
      </c>
      <c r="AR44" s="33">
        <f>AQ44*(1+'Green+Social Interface'!$I$35)</f>
        <v>0</v>
      </c>
      <c r="AS44" s="33">
        <f>AR44*(1+'Green+Social Interface'!$I$35)</f>
        <v>0</v>
      </c>
      <c r="AT44" s="33">
        <f>AS44*(1+'Green+Social Interface'!$I$35)</f>
        <v>0</v>
      </c>
      <c r="AU44" s="33">
        <f>AT44*(1+'Green+Social Interface'!$I$35)</f>
        <v>0</v>
      </c>
      <c r="AV44" s="33">
        <f>AU44*(1+'Green+Social Interface'!$I$35)</f>
        <v>0</v>
      </c>
      <c r="AW44" s="33">
        <f>AV44*(1+'Green+Social Interface'!$I$35)</f>
        <v>0</v>
      </c>
      <c r="AX44" s="33">
        <f>AW44*(1+'Green+Social Interface'!$I$35)</f>
        <v>0</v>
      </c>
      <c r="AY44" s="33">
        <f>AX44*(1+'Green+Social Interface'!$I$35)</f>
        <v>0</v>
      </c>
      <c r="AZ44" s="33">
        <f>AY44*(1+'Green+Social Interface'!$I$35)</f>
        <v>0</v>
      </c>
      <c r="BA44" s="33">
        <f>AZ44*(1+'Green+Social Interface'!$I$35)</f>
        <v>0</v>
      </c>
    </row>
    <row r="45" spans="2:53" ht="15">
      <c r="B45" s="35"/>
      <c r="C45" s="36" t="s">
        <v>416</v>
      </c>
      <c r="D45" s="36" t="s">
        <v>67</v>
      </c>
      <c r="E45" s="37">
        <v>38</v>
      </c>
      <c r="F45" s="18">
        <f>E45*VLOOKUP('Green+Social Interface'!$I$38,'Look-ups'!$A$15:$B$43,2,0)</f>
        <v>40.28</v>
      </c>
      <c r="G45" s="38">
        <v>1</v>
      </c>
      <c r="H45" s="39">
        <f>H$141</f>
        <v>0</v>
      </c>
      <c r="I45" s="21">
        <f>'Green+Social Interface'!$O$6</f>
        <v>0.07</v>
      </c>
      <c r="J45" s="22"/>
      <c r="K45" s="70">
        <f>IF(AND(L45&gt;0,$B$85&gt;0),L45/$B$85,0)</f>
        <v>0</v>
      </c>
      <c r="L45" s="70">
        <f t="shared" si="4"/>
        <v>0</v>
      </c>
      <c r="M45" s="153">
        <f t="shared" si="5"/>
        <v>0</v>
      </c>
      <c r="N45" s="40">
        <f t="shared" si="11"/>
        <v>0</v>
      </c>
      <c r="O45" s="33">
        <f>N45*(1+'Green+Social Interface'!$I$35)</f>
        <v>0</v>
      </c>
      <c r="P45" s="33">
        <f>O45*(1+'Green+Social Interface'!$I$35)</f>
        <v>0</v>
      </c>
      <c r="Q45" s="33">
        <f>P45*(1+'Green+Social Interface'!$I$35)</f>
        <v>0</v>
      </c>
      <c r="R45" s="33">
        <f>Q45*(1+'Green+Social Interface'!$I$35)</f>
        <v>0</v>
      </c>
      <c r="S45" s="33">
        <f>R45*(1+'Green+Social Interface'!$I$35)</f>
        <v>0</v>
      </c>
      <c r="T45" s="33">
        <f>S45*(1+'Green+Social Interface'!$I$35)</f>
        <v>0</v>
      </c>
      <c r="U45" s="33">
        <f>T45*(1+'Green+Social Interface'!$I$35)</f>
        <v>0</v>
      </c>
      <c r="V45" s="33">
        <f>U45*(1+'Green+Social Interface'!$I$35)</f>
        <v>0</v>
      </c>
      <c r="W45" s="33">
        <f>V45*(1+'Green+Social Interface'!$I$35)</f>
        <v>0</v>
      </c>
      <c r="X45" s="33">
        <f>W45*(1+'Green+Social Interface'!$I$35)</f>
        <v>0</v>
      </c>
      <c r="Y45" s="33">
        <f>X45*(1+'Green+Social Interface'!$I$35)</f>
        <v>0</v>
      </c>
      <c r="Z45" s="33">
        <f>Y45*(1+'Green+Social Interface'!$I$35)</f>
        <v>0</v>
      </c>
      <c r="AA45" s="33">
        <f>Z45*(1+'Green+Social Interface'!$I$35)</f>
        <v>0</v>
      </c>
      <c r="AB45" s="33">
        <f>AA45*(1+'Green+Social Interface'!$I$35)</f>
        <v>0</v>
      </c>
      <c r="AC45" s="33">
        <f>AB45*(1+'Green+Social Interface'!$I$35)</f>
        <v>0</v>
      </c>
      <c r="AD45" s="33">
        <f>AC45*(1+'Green+Social Interface'!$I$35)</f>
        <v>0</v>
      </c>
      <c r="AE45" s="33">
        <f>AD45*(1+'Green+Social Interface'!$I$35)</f>
        <v>0</v>
      </c>
      <c r="AF45" s="33">
        <f>AE45*(1+'Green+Social Interface'!$I$35)</f>
        <v>0</v>
      </c>
      <c r="AG45" s="33">
        <f>AF45*(1+'Green+Social Interface'!$I$35)</f>
        <v>0</v>
      </c>
      <c r="AH45" s="33">
        <f>AG45*(1+'Green+Social Interface'!$I$35)</f>
        <v>0</v>
      </c>
      <c r="AI45" s="33">
        <f>AH45*(1+'Green+Social Interface'!$I$35)</f>
        <v>0</v>
      </c>
      <c r="AJ45" s="33">
        <f>AI45*(1+'Green+Social Interface'!$I$35)</f>
        <v>0</v>
      </c>
      <c r="AK45" s="33">
        <f>AJ45*(1+'Green+Social Interface'!$I$35)</f>
        <v>0</v>
      </c>
      <c r="AL45" s="33">
        <f>AK45*(1+'Green+Social Interface'!$I$35)</f>
        <v>0</v>
      </c>
      <c r="AM45" s="33">
        <f>AL45*(1+'Green+Social Interface'!$I$35)</f>
        <v>0</v>
      </c>
      <c r="AN45" s="33">
        <f>AM45*(1+'Green+Social Interface'!$I$35)</f>
        <v>0</v>
      </c>
      <c r="AO45" s="33">
        <f>AN45*(1+'Green+Social Interface'!$I$35)</f>
        <v>0</v>
      </c>
      <c r="AP45" s="33">
        <f>AO45*(1+'Green+Social Interface'!$I$35)</f>
        <v>0</v>
      </c>
      <c r="AQ45" s="33">
        <f>AP45*(1+'Green+Social Interface'!$I$35)</f>
        <v>0</v>
      </c>
      <c r="AR45" s="33">
        <f>AQ45*(1+'Green+Social Interface'!$I$35)</f>
        <v>0</v>
      </c>
      <c r="AS45" s="33">
        <f>AR45*(1+'Green+Social Interface'!$I$35)</f>
        <v>0</v>
      </c>
      <c r="AT45" s="33">
        <f>AS45*(1+'Green+Social Interface'!$I$35)</f>
        <v>0</v>
      </c>
      <c r="AU45" s="33">
        <f>AT45*(1+'Green+Social Interface'!$I$35)</f>
        <v>0</v>
      </c>
      <c r="AV45" s="33">
        <f>AU45*(1+'Green+Social Interface'!$I$35)</f>
        <v>0</v>
      </c>
      <c r="AW45" s="33">
        <f>AV45*(1+'Green+Social Interface'!$I$35)</f>
        <v>0</v>
      </c>
      <c r="AX45" s="33">
        <f>AW45*(1+'Green+Social Interface'!$I$35)</f>
        <v>0</v>
      </c>
      <c r="AY45" s="33">
        <f>AX45*(1+'Green+Social Interface'!$I$35)</f>
        <v>0</v>
      </c>
      <c r="AZ45" s="33">
        <f>AY45*(1+'Green+Social Interface'!$I$35)</f>
        <v>0</v>
      </c>
      <c r="BA45" s="33">
        <f>AZ45*(1+'Green+Social Interface'!$I$35)</f>
        <v>0</v>
      </c>
    </row>
    <row r="46" spans="2:53" ht="15">
      <c r="B46" s="41" t="s">
        <v>79</v>
      </c>
      <c r="C46" s="42"/>
      <c r="D46" s="42" t="s">
        <v>80</v>
      </c>
      <c r="E46" s="43"/>
      <c r="F46" s="43"/>
      <c r="G46" s="44"/>
      <c r="H46" s="45"/>
      <c r="I46" s="46"/>
      <c r="J46" s="3"/>
      <c r="K46" s="163">
        <f>IF(AND(L46&gt;0,$B$85&gt;0),L46/$B$85,0)</f>
        <v>0</v>
      </c>
      <c r="L46" s="163">
        <f t="shared" si="4"/>
        <v>0</v>
      </c>
      <c r="M46" s="48">
        <f>SUM(N46:BA46)</f>
        <v>0</v>
      </c>
      <c r="N46" s="47">
        <f>SUM(N6:N11,N35:N45)</f>
        <v>0</v>
      </c>
      <c r="O46" s="47">
        <f aca="true" t="shared" si="14" ref="O46:BA46">SUM(O6:O11,O35:O45)</f>
        <v>0</v>
      </c>
      <c r="P46" s="47">
        <f t="shared" si="14"/>
        <v>0</v>
      </c>
      <c r="Q46" s="47">
        <f t="shared" si="14"/>
        <v>0</v>
      </c>
      <c r="R46" s="47">
        <f t="shared" si="14"/>
        <v>0</v>
      </c>
      <c r="S46" s="47">
        <f t="shared" si="14"/>
        <v>0</v>
      </c>
      <c r="T46" s="47">
        <f t="shared" si="14"/>
        <v>0</v>
      </c>
      <c r="U46" s="47">
        <f t="shared" si="14"/>
        <v>0</v>
      </c>
      <c r="V46" s="47">
        <f t="shared" si="14"/>
        <v>0</v>
      </c>
      <c r="W46" s="47">
        <f t="shared" si="14"/>
        <v>0</v>
      </c>
      <c r="X46" s="47">
        <f t="shared" si="14"/>
        <v>0</v>
      </c>
      <c r="Y46" s="47">
        <f t="shared" si="14"/>
        <v>0</v>
      </c>
      <c r="Z46" s="47">
        <f t="shared" si="14"/>
        <v>0</v>
      </c>
      <c r="AA46" s="47">
        <f t="shared" si="14"/>
        <v>0</v>
      </c>
      <c r="AB46" s="47">
        <f t="shared" si="14"/>
        <v>0</v>
      </c>
      <c r="AC46" s="47">
        <f t="shared" si="14"/>
        <v>0</v>
      </c>
      <c r="AD46" s="47">
        <f t="shared" si="14"/>
        <v>0</v>
      </c>
      <c r="AE46" s="47">
        <f t="shared" si="14"/>
        <v>0</v>
      </c>
      <c r="AF46" s="47">
        <f t="shared" si="14"/>
        <v>0</v>
      </c>
      <c r="AG46" s="47">
        <f t="shared" si="14"/>
        <v>0</v>
      </c>
      <c r="AH46" s="47">
        <f t="shared" si="14"/>
        <v>0</v>
      </c>
      <c r="AI46" s="47">
        <f t="shared" si="14"/>
        <v>0</v>
      </c>
      <c r="AJ46" s="47">
        <f t="shared" si="14"/>
        <v>0</v>
      </c>
      <c r="AK46" s="47">
        <f t="shared" si="14"/>
        <v>0</v>
      </c>
      <c r="AL46" s="47">
        <f t="shared" si="14"/>
        <v>0</v>
      </c>
      <c r="AM46" s="47">
        <f t="shared" si="14"/>
        <v>0</v>
      </c>
      <c r="AN46" s="47">
        <f t="shared" si="14"/>
        <v>0</v>
      </c>
      <c r="AO46" s="47">
        <f t="shared" si="14"/>
        <v>0</v>
      </c>
      <c r="AP46" s="47">
        <f t="shared" si="14"/>
        <v>0</v>
      </c>
      <c r="AQ46" s="47">
        <f t="shared" si="14"/>
        <v>0</v>
      </c>
      <c r="AR46" s="47">
        <f t="shared" si="14"/>
        <v>0</v>
      </c>
      <c r="AS46" s="47">
        <f t="shared" si="14"/>
        <v>0</v>
      </c>
      <c r="AT46" s="47">
        <f t="shared" si="14"/>
        <v>0</v>
      </c>
      <c r="AU46" s="47">
        <f t="shared" si="14"/>
        <v>0</v>
      </c>
      <c r="AV46" s="47">
        <f t="shared" si="14"/>
        <v>0</v>
      </c>
      <c r="AW46" s="47">
        <f t="shared" si="14"/>
        <v>0</v>
      </c>
      <c r="AX46" s="47">
        <f t="shared" si="14"/>
        <v>0</v>
      </c>
      <c r="AY46" s="47">
        <f t="shared" si="14"/>
        <v>0</v>
      </c>
      <c r="AZ46" s="47">
        <f t="shared" si="14"/>
        <v>0</v>
      </c>
      <c r="BA46" s="47">
        <f t="shared" si="14"/>
        <v>0</v>
      </c>
    </row>
    <row r="47" spans="2:53" ht="15">
      <c r="B47" s="49" t="s">
        <v>81</v>
      </c>
      <c r="C47" s="50"/>
      <c r="D47" s="50" t="s">
        <v>67</v>
      </c>
      <c r="E47" s="51"/>
      <c r="F47" s="51"/>
      <c r="G47" s="52"/>
      <c r="H47" s="53"/>
      <c r="I47" s="54"/>
      <c r="J47" s="2"/>
      <c r="K47" s="162">
        <f>IF(AND(L47&lt;&gt;0,$B$85&gt;0),L47/$B$85,0)</f>
        <v>0</v>
      </c>
      <c r="L47" s="162">
        <f t="shared" si="4"/>
        <v>0</v>
      </c>
      <c r="M47" s="56">
        <f t="shared" si="5"/>
        <v>0</v>
      </c>
      <c r="N47" s="55">
        <f>N6+N7+N8+N11+N37+N41+N42+N44+N45+N9+N10+N43</f>
        <v>0</v>
      </c>
      <c r="O47" s="55">
        <f aca="true" t="shared" si="15" ref="O47:BA47">O6+O7+O8+O11+O37+O41+O42+O44+O45+O9+O10+O43</f>
        <v>0</v>
      </c>
      <c r="P47" s="55">
        <f t="shared" si="15"/>
        <v>0</v>
      </c>
      <c r="Q47" s="55">
        <f t="shared" si="15"/>
        <v>0</v>
      </c>
      <c r="R47" s="55">
        <f t="shared" si="15"/>
        <v>0</v>
      </c>
      <c r="S47" s="55">
        <f t="shared" si="15"/>
        <v>0</v>
      </c>
      <c r="T47" s="55">
        <f t="shared" si="15"/>
        <v>0</v>
      </c>
      <c r="U47" s="55">
        <f t="shared" si="15"/>
        <v>0</v>
      </c>
      <c r="V47" s="55">
        <f t="shared" si="15"/>
        <v>0</v>
      </c>
      <c r="W47" s="55">
        <f t="shared" si="15"/>
        <v>0</v>
      </c>
      <c r="X47" s="55">
        <f t="shared" si="15"/>
        <v>0</v>
      </c>
      <c r="Y47" s="55">
        <f t="shared" si="15"/>
        <v>0</v>
      </c>
      <c r="Z47" s="55">
        <f t="shared" si="15"/>
        <v>0</v>
      </c>
      <c r="AA47" s="55">
        <f t="shared" si="15"/>
        <v>0</v>
      </c>
      <c r="AB47" s="55">
        <f t="shared" si="15"/>
        <v>0</v>
      </c>
      <c r="AC47" s="55">
        <f t="shared" si="15"/>
        <v>0</v>
      </c>
      <c r="AD47" s="55">
        <f t="shared" si="15"/>
        <v>0</v>
      </c>
      <c r="AE47" s="55">
        <f t="shared" si="15"/>
        <v>0</v>
      </c>
      <c r="AF47" s="55">
        <f t="shared" si="15"/>
        <v>0</v>
      </c>
      <c r="AG47" s="55">
        <f t="shared" si="15"/>
        <v>0</v>
      </c>
      <c r="AH47" s="55">
        <f t="shared" si="15"/>
        <v>0</v>
      </c>
      <c r="AI47" s="55">
        <f t="shared" si="15"/>
        <v>0</v>
      </c>
      <c r="AJ47" s="55">
        <f t="shared" si="15"/>
        <v>0</v>
      </c>
      <c r="AK47" s="55">
        <f t="shared" si="15"/>
        <v>0</v>
      </c>
      <c r="AL47" s="55">
        <f t="shared" si="15"/>
        <v>0</v>
      </c>
      <c r="AM47" s="55">
        <f t="shared" si="15"/>
        <v>0</v>
      </c>
      <c r="AN47" s="55">
        <f t="shared" si="15"/>
        <v>0</v>
      </c>
      <c r="AO47" s="55">
        <f t="shared" si="15"/>
        <v>0</v>
      </c>
      <c r="AP47" s="55">
        <f t="shared" si="15"/>
        <v>0</v>
      </c>
      <c r="AQ47" s="55">
        <f t="shared" si="15"/>
        <v>0</v>
      </c>
      <c r="AR47" s="55">
        <f t="shared" si="15"/>
        <v>0</v>
      </c>
      <c r="AS47" s="55">
        <f t="shared" si="15"/>
        <v>0</v>
      </c>
      <c r="AT47" s="55">
        <f t="shared" si="15"/>
        <v>0</v>
      </c>
      <c r="AU47" s="55">
        <f t="shared" si="15"/>
        <v>0</v>
      </c>
      <c r="AV47" s="55">
        <f t="shared" si="15"/>
        <v>0</v>
      </c>
      <c r="AW47" s="55">
        <f t="shared" si="15"/>
        <v>0</v>
      </c>
      <c r="AX47" s="55">
        <f t="shared" si="15"/>
        <v>0</v>
      </c>
      <c r="AY47" s="55">
        <f t="shared" si="15"/>
        <v>0</v>
      </c>
      <c r="AZ47" s="55">
        <f t="shared" si="15"/>
        <v>0</v>
      </c>
      <c r="BA47" s="55">
        <f t="shared" si="15"/>
        <v>0</v>
      </c>
    </row>
    <row r="48" spans="2:53" ht="15">
      <c r="B48" s="57" t="s">
        <v>81</v>
      </c>
      <c r="C48" s="58"/>
      <c r="D48" s="58" t="s">
        <v>71</v>
      </c>
      <c r="E48" s="59"/>
      <c r="F48" s="59"/>
      <c r="G48" s="60"/>
      <c r="H48" s="61"/>
      <c r="I48" s="62"/>
      <c r="J48" s="2"/>
      <c r="K48" s="63">
        <f>IF(AND(L48&lt;&gt;0,$B$85&gt;0),L48/$B$85,0)</f>
        <v>0</v>
      </c>
      <c r="L48" s="63">
        <f t="shared" si="4"/>
        <v>0</v>
      </c>
      <c r="M48" s="65">
        <f t="shared" si="5"/>
        <v>0</v>
      </c>
      <c r="N48" s="64">
        <f>SUM(N35:N36,N38:N39,N40)</f>
        <v>0</v>
      </c>
      <c r="O48" s="64">
        <f aca="true" t="shared" si="16" ref="O48:BA48">SUM(O35:O36,O38:O39,O40)</f>
        <v>0</v>
      </c>
      <c r="P48" s="64">
        <f t="shared" si="16"/>
        <v>0</v>
      </c>
      <c r="Q48" s="64">
        <f t="shared" si="16"/>
        <v>0</v>
      </c>
      <c r="R48" s="64">
        <f t="shared" si="16"/>
        <v>0</v>
      </c>
      <c r="S48" s="64">
        <f t="shared" si="16"/>
        <v>0</v>
      </c>
      <c r="T48" s="64">
        <f t="shared" si="16"/>
        <v>0</v>
      </c>
      <c r="U48" s="64">
        <f t="shared" si="16"/>
        <v>0</v>
      </c>
      <c r="V48" s="64">
        <f t="shared" si="16"/>
        <v>0</v>
      </c>
      <c r="W48" s="64">
        <f t="shared" si="16"/>
        <v>0</v>
      </c>
      <c r="X48" s="64">
        <f t="shared" si="16"/>
        <v>0</v>
      </c>
      <c r="Y48" s="64">
        <f t="shared" si="16"/>
        <v>0</v>
      </c>
      <c r="Z48" s="64">
        <f t="shared" si="16"/>
        <v>0</v>
      </c>
      <c r="AA48" s="64">
        <f t="shared" si="16"/>
        <v>0</v>
      </c>
      <c r="AB48" s="64">
        <f t="shared" si="16"/>
        <v>0</v>
      </c>
      <c r="AC48" s="64">
        <f t="shared" si="16"/>
        <v>0</v>
      </c>
      <c r="AD48" s="64">
        <f t="shared" si="16"/>
        <v>0</v>
      </c>
      <c r="AE48" s="64">
        <f t="shared" si="16"/>
        <v>0</v>
      </c>
      <c r="AF48" s="64">
        <f t="shared" si="16"/>
        <v>0</v>
      </c>
      <c r="AG48" s="64">
        <f t="shared" si="16"/>
        <v>0</v>
      </c>
      <c r="AH48" s="64">
        <f t="shared" si="16"/>
        <v>0</v>
      </c>
      <c r="AI48" s="64">
        <f t="shared" si="16"/>
        <v>0</v>
      </c>
      <c r="AJ48" s="64">
        <f t="shared" si="16"/>
        <v>0</v>
      </c>
      <c r="AK48" s="64">
        <f t="shared" si="16"/>
        <v>0</v>
      </c>
      <c r="AL48" s="64">
        <f t="shared" si="16"/>
        <v>0</v>
      </c>
      <c r="AM48" s="64">
        <f t="shared" si="16"/>
        <v>0</v>
      </c>
      <c r="AN48" s="64">
        <f t="shared" si="16"/>
        <v>0</v>
      </c>
      <c r="AO48" s="64">
        <f t="shared" si="16"/>
        <v>0</v>
      </c>
      <c r="AP48" s="64">
        <f t="shared" si="16"/>
        <v>0</v>
      </c>
      <c r="AQ48" s="64">
        <f t="shared" si="16"/>
        <v>0</v>
      </c>
      <c r="AR48" s="64">
        <f t="shared" si="16"/>
        <v>0</v>
      </c>
      <c r="AS48" s="64">
        <f t="shared" si="16"/>
        <v>0</v>
      </c>
      <c r="AT48" s="64">
        <f t="shared" si="16"/>
        <v>0</v>
      </c>
      <c r="AU48" s="64">
        <f t="shared" si="16"/>
        <v>0</v>
      </c>
      <c r="AV48" s="64">
        <f t="shared" si="16"/>
        <v>0</v>
      </c>
      <c r="AW48" s="64">
        <f t="shared" si="16"/>
        <v>0</v>
      </c>
      <c r="AX48" s="64">
        <f t="shared" si="16"/>
        <v>0</v>
      </c>
      <c r="AY48" s="64">
        <f t="shared" si="16"/>
        <v>0</v>
      </c>
      <c r="AZ48" s="64">
        <f t="shared" si="16"/>
        <v>0</v>
      </c>
      <c r="BA48" s="64">
        <f t="shared" si="16"/>
        <v>0</v>
      </c>
    </row>
    <row r="49" spans="2:53" ht="15">
      <c r="B49" s="24" t="s">
        <v>82</v>
      </c>
      <c r="C49" s="25"/>
      <c r="D49" s="25"/>
      <c r="E49" s="26"/>
      <c r="F49" s="26"/>
      <c r="G49" s="27"/>
      <c r="H49" s="31"/>
      <c r="I49" s="30"/>
      <c r="K49" s="28"/>
      <c r="L49" s="28"/>
      <c r="M49" s="30"/>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row>
    <row r="50" spans="2:53" ht="15">
      <c r="B50" s="24"/>
      <c r="C50" s="25" t="s">
        <v>415</v>
      </c>
      <c r="D50" s="25" t="s">
        <v>71</v>
      </c>
      <c r="E50" s="26">
        <v>21767</v>
      </c>
      <c r="F50" s="18">
        <f>E50*VLOOKUP('Green+Social Interface'!$I$38,'Look-ups'!$A$15:$B$43,2,0)</f>
        <v>23073.02</v>
      </c>
      <c r="G50" s="27">
        <v>0.5</v>
      </c>
      <c r="H50" s="20">
        <f aca="true" t="shared" si="17" ref="H50:H55">H6</f>
        <v>0</v>
      </c>
      <c r="I50" s="21">
        <f>'Green+Social Interface'!$O$6</f>
        <v>0.07</v>
      </c>
      <c r="J50" s="22"/>
      <c r="K50" s="32">
        <f aca="true" t="shared" si="18" ref="K50:K65">IF(AND(L50&gt;0,$B$85&gt;0),L50/$B$85,0)</f>
        <v>0</v>
      </c>
      <c r="L50" s="32">
        <f aca="true" t="shared" si="19" ref="L50:L62">AVERAGE(N50:BA50)</f>
        <v>0</v>
      </c>
      <c r="M50" s="152">
        <f>SUM(N50:BA50)</f>
        <v>0</v>
      </c>
      <c r="N50" s="33">
        <f>H50*G50*F50</f>
        <v>0</v>
      </c>
      <c r="O50" s="33">
        <f>N50*(1+'Green+Social Interface'!$I$35)*I50</f>
        <v>0</v>
      </c>
      <c r="P50" s="425">
        <f>O50*(1+'Green+Social Interface'!$I$35)</f>
        <v>0</v>
      </c>
      <c r="Q50" s="33">
        <f>P50*(1+'Green+Social Interface'!$I$35)</f>
        <v>0</v>
      </c>
      <c r="R50" s="33">
        <f>Q50*(1+'Green+Social Interface'!$I$35)</f>
        <v>0</v>
      </c>
      <c r="S50" s="33">
        <f>R50*(1+'Green+Social Interface'!$I$35)</f>
        <v>0</v>
      </c>
      <c r="T50" s="33">
        <f>S50*(1+'Green+Social Interface'!$I$35)</f>
        <v>0</v>
      </c>
      <c r="U50" s="33">
        <f>T50*(1+'Green+Social Interface'!$I$35)</f>
        <v>0</v>
      </c>
      <c r="V50" s="33">
        <f>U50*(1+'Green+Social Interface'!$I$35)</f>
        <v>0</v>
      </c>
      <c r="W50" s="33">
        <f>V50*(1+'Green+Social Interface'!$I$35)</f>
        <v>0</v>
      </c>
      <c r="X50" s="33">
        <f>W50*(1+'Green+Social Interface'!$I$35)</f>
        <v>0</v>
      </c>
      <c r="Y50" s="33">
        <f>X50*(1+'Green+Social Interface'!$I$35)</f>
        <v>0</v>
      </c>
      <c r="Z50" s="33">
        <f>Y50*(1+'Green+Social Interface'!$I$35)</f>
        <v>0</v>
      </c>
      <c r="AA50" s="33">
        <f>Z50*(1+'Green+Social Interface'!$I$35)</f>
        <v>0</v>
      </c>
      <c r="AB50" s="33">
        <f>AA50*(1+'Green+Social Interface'!$I$35)</f>
        <v>0</v>
      </c>
      <c r="AC50" s="33">
        <f>AB50*(1+'Green+Social Interface'!$I$35)</f>
        <v>0</v>
      </c>
      <c r="AD50" s="33">
        <f>AC50*(1+'Green+Social Interface'!$I$35)</f>
        <v>0</v>
      </c>
      <c r="AE50" s="33">
        <f>AD50*(1+'Green+Social Interface'!$I$35)</f>
        <v>0</v>
      </c>
      <c r="AF50" s="33">
        <f>AE50*(1+'Green+Social Interface'!$I$35)</f>
        <v>0</v>
      </c>
      <c r="AG50" s="33">
        <f>AF50*(1+'Green+Social Interface'!$I$35)</f>
        <v>0</v>
      </c>
      <c r="AH50" s="33">
        <f>AG50*(1+'Green+Social Interface'!$I$35)</f>
        <v>0</v>
      </c>
      <c r="AI50" s="33">
        <f>AH50*(1+'Green+Social Interface'!$I$35)</f>
        <v>0</v>
      </c>
      <c r="AJ50" s="33">
        <f>AI50*(1+'Green+Social Interface'!$I$35)</f>
        <v>0</v>
      </c>
      <c r="AK50" s="33">
        <f>AJ50*(1+'Green+Social Interface'!$I$35)</f>
        <v>0</v>
      </c>
      <c r="AL50" s="33">
        <f>AK50*(1+'Green+Social Interface'!$I$35)</f>
        <v>0</v>
      </c>
      <c r="AM50" s="33">
        <f>AL50*(1+'Green+Social Interface'!$I$35)</f>
        <v>0</v>
      </c>
      <c r="AN50" s="33">
        <f>AM50*(1+'Green+Social Interface'!$I$35)</f>
        <v>0</v>
      </c>
      <c r="AO50" s="33">
        <f>AN50*(1+'Green+Social Interface'!$I$35)</f>
        <v>0</v>
      </c>
      <c r="AP50" s="33">
        <f>AO50*(1+'Green+Social Interface'!$I$35)</f>
        <v>0</v>
      </c>
      <c r="AQ50" s="33">
        <f>AP50*(1+'Green+Social Interface'!$I$35)</f>
        <v>0</v>
      </c>
      <c r="AR50" s="33">
        <f>AQ50*(1+'Green+Social Interface'!$I$35)</f>
        <v>0</v>
      </c>
      <c r="AS50" s="33">
        <f>AR50*(1+'Green+Social Interface'!$I$35)</f>
        <v>0</v>
      </c>
      <c r="AT50" s="33">
        <f>AS50*(1+'Green+Social Interface'!$I$35)</f>
        <v>0</v>
      </c>
      <c r="AU50" s="33">
        <f>AT50*(1+'Green+Social Interface'!$I$35)</f>
        <v>0</v>
      </c>
      <c r="AV50" s="33">
        <f>AU50*(1+'Green+Social Interface'!$I$35)</f>
        <v>0</v>
      </c>
      <c r="AW50" s="33">
        <f>AV50*(1+'Green+Social Interface'!$I$35)</f>
        <v>0</v>
      </c>
      <c r="AX50" s="33">
        <f>AW50*(1+'Green+Social Interface'!$I$35)</f>
        <v>0</v>
      </c>
      <c r="AY50" s="33">
        <f>AX50*(1+'Green+Social Interface'!$I$35)</f>
        <v>0</v>
      </c>
      <c r="AZ50" s="33">
        <f>AY50*(1+'Green+Social Interface'!$I$35)</f>
        <v>0</v>
      </c>
      <c r="BA50" s="33">
        <f>AZ50*(1+'Green+Social Interface'!$I$35)</f>
        <v>0</v>
      </c>
    </row>
    <row r="51" spans="2:53" ht="15">
      <c r="B51" s="24"/>
      <c r="C51" s="25" t="s">
        <v>415</v>
      </c>
      <c r="D51" s="25" t="s">
        <v>71</v>
      </c>
      <c r="E51" s="26">
        <v>21767</v>
      </c>
      <c r="F51" s="18">
        <f>E51*VLOOKUP('Green+Social Interface'!$I$38,'Look-ups'!$A$15:$B$43,2,0)</f>
        <v>23073.02</v>
      </c>
      <c r="G51" s="27">
        <v>0.8</v>
      </c>
      <c r="H51" s="20">
        <f t="shared" si="17"/>
        <v>0</v>
      </c>
      <c r="I51" s="21">
        <f>'Green+Social Interface'!$O$6</f>
        <v>0.07</v>
      </c>
      <c r="J51" s="22"/>
      <c r="K51" s="168">
        <f t="shared" si="18"/>
        <v>0</v>
      </c>
      <c r="L51" s="32">
        <f>AVERAGE(N51:BA51)</f>
        <v>0</v>
      </c>
      <c r="M51" s="152">
        <f aca="true" t="shared" si="20" ref="M51">SUM(N51:BA51)</f>
        <v>0</v>
      </c>
      <c r="N51" s="33">
        <f>IF('Green+Social Interface'!$J$6="Yes",'Social Infrastructure'!F51*'Social Infrastructure'!G51*'Social Infrastructure'!H51,'Social Infrastructure'!F51*'Social Infrastructure'!$G$50*'Social Infrastructure'!H51)</f>
        <v>0</v>
      </c>
      <c r="O51" s="33">
        <f>N51*(1+'Green+Social Interface'!$I$35)*I51</f>
        <v>0</v>
      </c>
      <c r="P51" s="33">
        <f>O51*(1+'Green+Social Interface'!$I$35)</f>
        <v>0</v>
      </c>
      <c r="Q51" s="33">
        <f>P51*(1+'Green+Social Interface'!$I$35)</f>
        <v>0</v>
      </c>
      <c r="R51" s="33">
        <f>Q51*(1+'Green+Social Interface'!$I$35)</f>
        <v>0</v>
      </c>
      <c r="S51" s="33">
        <f>R51*(1+'Green+Social Interface'!$I$35)</f>
        <v>0</v>
      </c>
      <c r="T51" s="33">
        <f>S51*(1+'Green+Social Interface'!$I$35)</f>
        <v>0</v>
      </c>
      <c r="U51" s="33">
        <f>T51*(1+'Green+Social Interface'!$I$35)</f>
        <v>0</v>
      </c>
      <c r="V51" s="33">
        <f>U51*(1+'Green+Social Interface'!$I$35)</f>
        <v>0</v>
      </c>
      <c r="W51" s="33">
        <f>V51*(1+'Green+Social Interface'!$I$35)</f>
        <v>0</v>
      </c>
      <c r="X51" s="33">
        <f>W51*(1+'Green+Social Interface'!$I$35)</f>
        <v>0</v>
      </c>
      <c r="Y51" s="33">
        <f>X51*(1+'Green+Social Interface'!$I$35)</f>
        <v>0</v>
      </c>
      <c r="Z51" s="33">
        <f>Y51*(1+'Green+Social Interface'!$I$35)</f>
        <v>0</v>
      </c>
      <c r="AA51" s="33">
        <f>Z51*(1+'Green+Social Interface'!$I$35)</f>
        <v>0</v>
      </c>
      <c r="AB51" s="33">
        <f>AA51*(1+'Green+Social Interface'!$I$35)</f>
        <v>0</v>
      </c>
      <c r="AC51" s="33">
        <f>AB51*(1+'Green+Social Interface'!$I$35)</f>
        <v>0</v>
      </c>
      <c r="AD51" s="33">
        <f>AC51*(1+'Green+Social Interface'!$I$35)</f>
        <v>0</v>
      </c>
      <c r="AE51" s="33">
        <f>AD51*(1+'Green+Social Interface'!$I$35)</f>
        <v>0</v>
      </c>
      <c r="AF51" s="33">
        <f>AE51*(1+'Green+Social Interface'!$I$35)</f>
        <v>0</v>
      </c>
      <c r="AG51" s="33">
        <f>AF51*(1+'Green+Social Interface'!$I$35)</f>
        <v>0</v>
      </c>
      <c r="AH51" s="33">
        <f>AG51*(1+'Green+Social Interface'!$I$35)</f>
        <v>0</v>
      </c>
      <c r="AI51" s="33">
        <f>AH51*(1+'Green+Social Interface'!$I$35)</f>
        <v>0</v>
      </c>
      <c r="AJ51" s="33">
        <f>AI51*(1+'Green+Social Interface'!$I$35)</f>
        <v>0</v>
      </c>
      <c r="AK51" s="33">
        <f>AJ51*(1+'Green+Social Interface'!$I$35)</f>
        <v>0</v>
      </c>
      <c r="AL51" s="33">
        <f>AK51*(1+'Green+Social Interface'!$I$35)</f>
        <v>0</v>
      </c>
      <c r="AM51" s="33">
        <f>AL51*(1+'Green+Social Interface'!$I$35)</f>
        <v>0</v>
      </c>
      <c r="AN51" s="33">
        <f>AM51*(1+'Green+Social Interface'!$I$35)</f>
        <v>0</v>
      </c>
      <c r="AO51" s="33">
        <f>AN51*(1+'Green+Social Interface'!$I$35)</f>
        <v>0</v>
      </c>
      <c r="AP51" s="33">
        <f>AO51*(1+'Green+Social Interface'!$I$35)</f>
        <v>0</v>
      </c>
      <c r="AQ51" s="33">
        <f>AP51*(1+'Green+Social Interface'!$I$35)</f>
        <v>0</v>
      </c>
      <c r="AR51" s="33">
        <f>AQ51*(1+'Green+Social Interface'!$I$35)</f>
        <v>0</v>
      </c>
      <c r="AS51" s="33">
        <f>AR51*(1+'Green+Social Interface'!$I$35)</f>
        <v>0</v>
      </c>
      <c r="AT51" s="33">
        <f>AS51*(1+'Green+Social Interface'!$I$35)</f>
        <v>0</v>
      </c>
      <c r="AU51" s="33">
        <f>AT51*(1+'Green+Social Interface'!$I$35)</f>
        <v>0</v>
      </c>
      <c r="AV51" s="33">
        <f>AU51*(1+'Green+Social Interface'!$I$35)</f>
        <v>0</v>
      </c>
      <c r="AW51" s="33">
        <f>AV51*(1+'Green+Social Interface'!$I$35)</f>
        <v>0</v>
      </c>
      <c r="AX51" s="33">
        <f>AW51*(1+'Green+Social Interface'!$I$35)</f>
        <v>0</v>
      </c>
      <c r="AY51" s="33">
        <f>AX51*(1+'Green+Social Interface'!$I$35)</f>
        <v>0</v>
      </c>
      <c r="AZ51" s="33">
        <f>AY51*(1+'Green+Social Interface'!$I$35)</f>
        <v>0</v>
      </c>
      <c r="BA51" s="33">
        <f>AZ51*(1+'Green+Social Interface'!$I$35)</f>
        <v>0</v>
      </c>
    </row>
    <row r="52" spans="2:53" ht="15">
      <c r="B52" s="24"/>
      <c r="C52" s="25" t="s">
        <v>414</v>
      </c>
      <c r="D52" s="25" t="s">
        <v>71</v>
      </c>
      <c r="E52" s="26">
        <v>11417</v>
      </c>
      <c r="F52" s="18">
        <f>E52*VLOOKUP('Green+Social Interface'!$I$38,'Look-ups'!$A$15:$B$43,2,0)</f>
        <v>12102.02</v>
      </c>
      <c r="G52" s="27">
        <v>0.8</v>
      </c>
      <c r="H52" s="20">
        <f t="shared" si="17"/>
        <v>0</v>
      </c>
      <c r="I52" s="21">
        <f>'Green+Social Interface'!$O$6</f>
        <v>0.07</v>
      </c>
      <c r="J52" s="22"/>
      <c r="K52" s="32">
        <f t="shared" si="18"/>
        <v>0</v>
      </c>
      <c r="L52" s="32">
        <f t="shared" si="19"/>
        <v>0</v>
      </c>
      <c r="M52" s="152">
        <f>SUM(N52:BA52)</f>
        <v>0</v>
      </c>
      <c r="N52" s="33">
        <f>IF('Green+Social Interface'!$J$7="Yes",'Social Infrastructure'!F52*'Social Infrastructure'!G52*'Social Infrastructure'!H52,'Social Infrastructure'!F52*'Social Infrastructure'!$G$50*'Social Infrastructure'!H52)</f>
        <v>0</v>
      </c>
      <c r="O52" s="33">
        <f>N52*(1+'Green+Social Interface'!$I$35)*I52</f>
        <v>0</v>
      </c>
      <c r="P52" s="33">
        <f>O52*(1+'Green+Social Interface'!$I$35)</f>
        <v>0</v>
      </c>
      <c r="Q52" s="33">
        <f>P52*(1+'Green+Social Interface'!$I$35)</f>
        <v>0</v>
      </c>
      <c r="R52" s="33">
        <f>Q52*(1+'Green+Social Interface'!$I$35)</f>
        <v>0</v>
      </c>
      <c r="S52" s="33">
        <f>R52*(1+'Green+Social Interface'!$I$35)</f>
        <v>0</v>
      </c>
      <c r="T52" s="33">
        <f>S52*(1+'Green+Social Interface'!$I$35)</f>
        <v>0</v>
      </c>
      <c r="U52" s="33">
        <f>T52*(1+'Green+Social Interface'!$I$35)</f>
        <v>0</v>
      </c>
      <c r="V52" s="33">
        <f>U52*(1+'Green+Social Interface'!$I$35)</f>
        <v>0</v>
      </c>
      <c r="W52" s="33">
        <f>V52*(1+'Green+Social Interface'!$I$35)</f>
        <v>0</v>
      </c>
      <c r="X52" s="33">
        <f>W52*(1+'Green+Social Interface'!$I$35)</f>
        <v>0</v>
      </c>
      <c r="Y52" s="33">
        <f>X52*(1+'Green+Social Interface'!$I$35)</f>
        <v>0</v>
      </c>
      <c r="Z52" s="33">
        <f>Y52*(1+'Green+Social Interface'!$I$35)</f>
        <v>0</v>
      </c>
      <c r="AA52" s="33">
        <f>Z52*(1+'Green+Social Interface'!$I$35)</f>
        <v>0</v>
      </c>
      <c r="AB52" s="33">
        <f>AA52*(1+'Green+Social Interface'!$I$35)</f>
        <v>0</v>
      </c>
      <c r="AC52" s="33">
        <f>AB52*(1+'Green+Social Interface'!$I$35)</f>
        <v>0</v>
      </c>
      <c r="AD52" s="33">
        <f>AC52*(1+'Green+Social Interface'!$I$35)</f>
        <v>0</v>
      </c>
      <c r="AE52" s="33">
        <f>AD52*(1+'Green+Social Interface'!$I$35)</f>
        <v>0</v>
      </c>
      <c r="AF52" s="33">
        <f>AE52*(1+'Green+Social Interface'!$I$35)</f>
        <v>0</v>
      </c>
      <c r="AG52" s="33">
        <f>AF52*(1+'Green+Social Interface'!$I$35)</f>
        <v>0</v>
      </c>
      <c r="AH52" s="33">
        <f>AG52*(1+'Green+Social Interface'!$I$35)</f>
        <v>0</v>
      </c>
      <c r="AI52" s="33">
        <f>AH52*(1+'Green+Social Interface'!$I$35)</f>
        <v>0</v>
      </c>
      <c r="AJ52" s="33">
        <f>AI52*(1+'Green+Social Interface'!$I$35)</f>
        <v>0</v>
      </c>
      <c r="AK52" s="33">
        <f>AJ52*(1+'Green+Social Interface'!$I$35)</f>
        <v>0</v>
      </c>
      <c r="AL52" s="33">
        <f>AK52*(1+'Green+Social Interface'!$I$35)</f>
        <v>0</v>
      </c>
      <c r="AM52" s="33">
        <f>AL52*(1+'Green+Social Interface'!$I$35)</f>
        <v>0</v>
      </c>
      <c r="AN52" s="33">
        <f>AM52*(1+'Green+Social Interface'!$I$35)</f>
        <v>0</v>
      </c>
      <c r="AO52" s="33">
        <f>AN52*(1+'Green+Social Interface'!$I$35)</f>
        <v>0</v>
      </c>
      <c r="AP52" s="33">
        <f>AO52*(1+'Green+Social Interface'!$I$35)</f>
        <v>0</v>
      </c>
      <c r="AQ52" s="33">
        <f>AP52*(1+'Green+Social Interface'!$I$35)</f>
        <v>0</v>
      </c>
      <c r="AR52" s="33">
        <f>AQ52*(1+'Green+Social Interface'!$I$35)</f>
        <v>0</v>
      </c>
      <c r="AS52" s="33">
        <f>AR52*(1+'Green+Social Interface'!$I$35)</f>
        <v>0</v>
      </c>
      <c r="AT52" s="33">
        <f>AS52*(1+'Green+Social Interface'!$I$35)</f>
        <v>0</v>
      </c>
      <c r="AU52" s="33">
        <f>AT52*(1+'Green+Social Interface'!$I$35)</f>
        <v>0</v>
      </c>
      <c r="AV52" s="33">
        <f>AU52*(1+'Green+Social Interface'!$I$35)</f>
        <v>0</v>
      </c>
      <c r="AW52" s="33">
        <f>AV52*(1+'Green+Social Interface'!$I$35)</f>
        <v>0</v>
      </c>
      <c r="AX52" s="33">
        <f>AW52*(1+'Green+Social Interface'!$I$35)</f>
        <v>0</v>
      </c>
      <c r="AY52" s="33">
        <f>AX52*(1+'Green+Social Interface'!$I$35)</f>
        <v>0</v>
      </c>
      <c r="AZ52" s="33">
        <f>AY52*(1+'Green+Social Interface'!$I$35)</f>
        <v>0</v>
      </c>
      <c r="BA52" s="33">
        <f>AZ52*(1+'Green+Social Interface'!$I$35)</f>
        <v>0</v>
      </c>
    </row>
    <row r="53" spans="2:53" ht="15">
      <c r="B53" s="24"/>
      <c r="C53" s="25" t="s">
        <v>592</v>
      </c>
      <c r="D53" s="25" t="s">
        <v>71</v>
      </c>
      <c r="E53" s="26">
        <v>23929</v>
      </c>
      <c r="F53" s="18">
        <f>E53*VLOOKUP('Green+Social Interface'!$I$38,'Look-ups'!$A$15:$B$43,2,0)</f>
        <v>25364.74</v>
      </c>
      <c r="G53" s="27">
        <v>0.8</v>
      </c>
      <c r="H53" s="20">
        <f t="shared" si="17"/>
        <v>0</v>
      </c>
      <c r="I53" s="21">
        <f>'Green+Social Interface'!$O$6</f>
        <v>0.07</v>
      </c>
      <c r="J53" s="22"/>
      <c r="K53" s="32">
        <f t="shared" si="18"/>
        <v>0</v>
      </c>
      <c r="L53" s="32">
        <f aca="true" t="shared" si="21" ref="L53:L54">AVERAGE(N53:BA53)</f>
        <v>0</v>
      </c>
      <c r="M53" s="152">
        <f aca="true" t="shared" si="22" ref="M53:M54">SUM(N53:BA53)</f>
        <v>0</v>
      </c>
      <c r="N53" s="33">
        <f>IF('Green+Social Interface'!$J$6="Yes",'Social Infrastructure'!F53*'Social Infrastructure'!G53*'Social Infrastructure'!H53,'Social Infrastructure'!F53*'Social Infrastructure'!$G$50*'Social Infrastructure'!H53)</f>
        <v>0</v>
      </c>
      <c r="O53" s="33">
        <f>N53*(1+'Green+Social Interface'!$I$35)*I53</f>
        <v>0</v>
      </c>
      <c r="P53" s="33">
        <f>O53*(1+'Green+Social Interface'!$I$35)</f>
        <v>0</v>
      </c>
      <c r="Q53" s="33">
        <f>P53*(1+'Green+Social Interface'!$I$35)</f>
        <v>0</v>
      </c>
      <c r="R53" s="33">
        <f>Q53*(1+'Green+Social Interface'!$I$35)</f>
        <v>0</v>
      </c>
      <c r="S53" s="33">
        <f>R53*(1+'Green+Social Interface'!$I$35)</f>
        <v>0</v>
      </c>
      <c r="T53" s="33">
        <f>S53*(1+'Green+Social Interface'!$I$35)</f>
        <v>0</v>
      </c>
      <c r="U53" s="33">
        <f>T53*(1+'Green+Social Interface'!$I$35)</f>
        <v>0</v>
      </c>
      <c r="V53" s="33">
        <f>U53*(1+'Green+Social Interface'!$I$35)</f>
        <v>0</v>
      </c>
      <c r="W53" s="33">
        <f>V53*(1+'Green+Social Interface'!$I$35)</f>
        <v>0</v>
      </c>
      <c r="X53" s="33">
        <f>W53*(1+'Green+Social Interface'!$I$35)</f>
        <v>0</v>
      </c>
      <c r="Y53" s="33">
        <f>X53*(1+'Green+Social Interface'!$I$35)</f>
        <v>0</v>
      </c>
      <c r="Z53" s="33">
        <f>Y53*(1+'Green+Social Interface'!$I$35)</f>
        <v>0</v>
      </c>
      <c r="AA53" s="33">
        <f>Z53*(1+'Green+Social Interface'!$I$35)</f>
        <v>0</v>
      </c>
      <c r="AB53" s="33">
        <f>AA53*(1+'Green+Social Interface'!$I$35)</f>
        <v>0</v>
      </c>
      <c r="AC53" s="33">
        <f>AB53*(1+'Green+Social Interface'!$I$35)</f>
        <v>0</v>
      </c>
      <c r="AD53" s="33">
        <f>AC53*(1+'Green+Social Interface'!$I$35)</f>
        <v>0</v>
      </c>
      <c r="AE53" s="33">
        <f>AD53*(1+'Green+Social Interface'!$I$35)</f>
        <v>0</v>
      </c>
      <c r="AF53" s="33">
        <f>AE53*(1+'Green+Social Interface'!$I$35)</f>
        <v>0</v>
      </c>
      <c r="AG53" s="33">
        <f>AF53*(1+'Green+Social Interface'!$I$35)</f>
        <v>0</v>
      </c>
      <c r="AH53" s="33">
        <f>AG53*(1+'Green+Social Interface'!$I$35)</f>
        <v>0</v>
      </c>
      <c r="AI53" s="33">
        <f>AH53*(1+'Green+Social Interface'!$I$35)</f>
        <v>0</v>
      </c>
      <c r="AJ53" s="33">
        <f>AI53*(1+'Green+Social Interface'!$I$35)</f>
        <v>0</v>
      </c>
      <c r="AK53" s="33">
        <f>AJ53*(1+'Green+Social Interface'!$I$35)</f>
        <v>0</v>
      </c>
      <c r="AL53" s="33">
        <f>AK53*(1+'Green+Social Interface'!$I$35)</f>
        <v>0</v>
      </c>
      <c r="AM53" s="33">
        <f>AL53*(1+'Green+Social Interface'!$I$35)</f>
        <v>0</v>
      </c>
      <c r="AN53" s="33">
        <f>AM53*(1+'Green+Social Interface'!$I$35)</f>
        <v>0</v>
      </c>
      <c r="AO53" s="33">
        <f>AN53*(1+'Green+Social Interface'!$I$35)</f>
        <v>0</v>
      </c>
      <c r="AP53" s="33">
        <f>AO53*(1+'Green+Social Interface'!$I$35)</f>
        <v>0</v>
      </c>
      <c r="AQ53" s="33">
        <f>AP53*(1+'Green+Social Interface'!$I$35)</f>
        <v>0</v>
      </c>
      <c r="AR53" s="33">
        <f>AQ53*(1+'Green+Social Interface'!$I$35)</f>
        <v>0</v>
      </c>
      <c r="AS53" s="33">
        <f>AR53*(1+'Green+Social Interface'!$I$35)</f>
        <v>0</v>
      </c>
      <c r="AT53" s="33">
        <f>AS53*(1+'Green+Social Interface'!$I$35)</f>
        <v>0</v>
      </c>
      <c r="AU53" s="33">
        <f>AT53*(1+'Green+Social Interface'!$I$35)</f>
        <v>0</v>
      </c>
      <c r="AV53" s="33">
        <f>AU53*(1+'Green+Social Interface'!$I$35)</f>
        <v>0</v>
      </c>
      <c r="AW53" s="33">
        <f>AV53*(1+'Green+Social Interface'!$I$35)</f>
        <v>0</v>
      </c>
      <c r="AX53" s="33">
        <f>AW53*(1+'Green+Social Interface'!$I$35)</f>
        <v>0</v>
      </c>
      <c r="AY53" s="33">
        <f>AX53*(1+'Green+Social Interface'!$I$35)</f>
        <v>0</v>
      </c>
      <c r="AZ53" s="33">
        <f>AY53*(1+'Green+Social Interface'!$I$35)</f>
        <v>0</v>
      </c>
      <c r="BA53" s="33">
        <f>AZ53*(1+'Green+Social Interface'!$I$35)</f>
        <v>0</v>
      </c>
    </row>
    <row r="54" spans="2:53" ht="15">
      <c r="B54" s="24"/>
      <c r="C54" s="25" t="s">
        <v>593</v>
      </c>
      <c r="D54" s="25" t="s">
        <v>71</v>
      </c>
      <c r="E54" s="26">
        <v>8089</v>
      </c>
      <c r="F54" s="18">
        <f>E54*VLOOKUP('Green+Social Interface'!$I$38,'Look-ups'!$A$15:$B$43,2,0)</f>
        <v>8574.34</v>
      </c>
      <c r="G54" s="27">
        <v>0.8</v>
      </c>
      <c r="H54" s="20">
        <f t="shared" si="17"/>
        <v>0</v>
      </c>
      <c r="I54" s="21">
        <f>'Green+Social Interface'!$O$6</f>
        <v>0.07</v>
      </c>
      <c r="J54" s="22"/>
      <c r="K54" s="32">
        <f t="shared" si="18"/>
        <v>0</v>
      </c>
      <c r="L54" s="32">
        <f t="shared" si="21"/>
        <v>0</v>
      </c>
      <c r="M54" s="152">
        <f t="shared" si="22"/>
        <v>0</v>
      </c>
      <c r="N54" s="33">
        <f>IF('Green+Social Interface'!$J$7="Yes",'Social Infrastructure'!F54*'Social Infrastructure'!G54*'Social Infrastructure'!H54,'Social Infrastructure'!F54*'Social Infrastructure'!$G$50*'Social Infrastructure'!H54)</f>
        <v>0</v>
      </c>
      <c r="O54" s="33">
        <f>N54*(1+'Green+Social Interface'!$I$35)*I54</f>
        <v>0</v>
      </c>
      <c r="P54" s="33">
        <f>O54*(1+'Green+Social Interface'!$I$35)</f>
        <v>0</v>
      </c>
      <c r="Q54" s="33">
        <f>P54*(1+'Green+Social Interface'!$I$35)</f>
        <v>0</v>
      </c>
      <c r="R54" s="33">
        <f>Q54*(1+'Green+Social Interface'!$I$35)</f>
        <v>0</v>
      </c>
      <c r="S54" s="33">
        <f>R54*(1+'Green+Social Interface'!$I$35)</f>
        <v>0</v>
      </c>
      <c r="T54" s="33">
        <f>S54*(1+'Green+Social Interface'!$I$35)</f>
        <v>0</v>
      </c>
      <c r="U54" s="33">
        <f>T54*(1+'Green+Social Interface'!$I$35)</f>
        <v>0</v>
      </c>
      <c r="V54" s="33">
        <f>U54*(1+'Green+Social Interface'!$I$35)</f>
        <v>0</v>
      </c>
      <c r="W54" s="33">
        <f>V54*(1+'Green+Social Interface'!$I$35)</f>
        <v>0</v>
      </c>
      <c r="X54" s="33">
        <f>W54*(1+'Green+Social Interface'!$I$35)</f>
        <v>0</v>
      </c>
      <c r="Y54" s="33">
        <f>X54*(1+'Green+Social Interface'!$I$35)</f>
        <v>0</v>
      </c>
      <c r="Z54" s="33">
        <f>Y54*(1+'Green+Social Interface'!$I$35)</f>
        <v>0</v>
      </c>
      <c r="AA54" s="33">
        <f>Z54*(1+'Green+Social Interface'!$I$35)</f>
        <v>0</v>
      </c>
      <c r="AB54" s="33">
        <f>AA54*(1+'Green+Social Interface'!$I$35)</f>
        <v>0</v>
      </c>
      <c r="AC54" s="33">
        <f>AB54*(1+'Green+Social Interface'!$I$35)</f>
        <v>0</v>
      </c>
      <c r="AD54" s="33">
        <f>AC54*(1+'Green+Social Interface'!$I$35)</f>
        <v>0</v>
      </c>
      <c r="AE54" s="33">
        <f>AD54*(1+'Green+Social Interface'!$I$35)</f>
        <v>0</v>
      </c>
      <c r="AF54" s="33">
        <f>AE54*(1+'Green+Social Interface'!$I$35)</f>
        <v>0</v>
      </c>
      <c r="AG54" s="33">
        <f>AF54*(1+'Green+Social Interface'!$I$35)</f>
        <v>0</v>
      </c>
      <c r="AH54" s="33">
        <f>AG54*(1+'Green+Social Interface'!$I$35)</f>
        <v>0</v>
      </c>
      <c r="AI54" s="33">
        <f>AH54*(1+'Green+Social Interface'!$I$35)</f>
        <v>0</v>
      </c>
      <c r="AJ54" s="33">
        <f>AI54*(1+'Green+Social Interface'!$I$35)</f>
        <v>0</v>
      </c>
      <c r="AK54" s="33">
        <f>AJ54*(1+'Green+Social Interface'!$I$35)</f>
        <v>0</v>
      </c>
      <c r="AL54" s="33">
        <f>AK54*(1+'Green+Social Interface'!$I$35)</f>
        <v>0</v>
      </c>
      <c r="AM54" s="33">
        <f>AL54*(1+'Green+Social Interface'!$I$35)</f>
        <v>0</v>
      </c>
      <c r="AN54" s="33">
        <f>AM54*(1+'Green+Social Interface'!$I$35)</f>
        <v>0</v>
      </c>
      <c r="AO54" s="33">
        <f>AN54*(1+'Green+Social Interface'!$I$35)</f>
        <v>0</v>
      </c>
      <c r="AP54" s="33">
        <f>AO54*(1+'Green+Social Interface'!$I$35)</f>
        <v>0</v>
      </c>
      <c r="AQ54" s="33">
        <f>AP54*(1+'Green+Social Interface'!$I$35)</f>
        <v>0</v>
      </c>
      <c r="AR54" s="33">
        <f>AQ54*(1+'Green+Social Interface'!$I$35)</f>
        <v>0</v>
      </c>
      <c r="AS54" s="33">
        <f>AR54*(1+'Green+Social Interface'!$I$35)</f>
        <v>0</v>
      </c>
      <c r="AT54" s="33">
        <f>AS54*(1+'Green+Social Interface'!$I$35)</f>
        <v>0</v>
      </c>
      <c r="AU54" s="33">
        <f>AT54*(1+'Green+Social Interface'!$I$35)</f>
        <v>0</v>
      </c>
      <c r="AV54" s="33">
        <f>AU54*(1+'Green+Social Interface'!$I$35)</f>
        <v>0</v>
      </c>
      <c r="AW54" s="33">
        <f>AV54*(1+'Green+Social Interface'!$I$35)</f>
        <v>0</v>
      </c>
      <c r="AX54" s="33">
        <f>AW54*(1+'Green+Social Interface'!$I$35)</f>
        <v>0</v>
      </c>
      <c r="AY54" s="33">
        <f>AX54*(1+'Green+Social Interface'!$I$35)</f>
        <v>0</v>
      </c>
      <c r="AZ54" s="33">
        <f>AY54*(1+'Green+Social Interface'!$I$35)</f>
        <v>0</v>
      </c>
      <c r="BA54" s="33">
        <f>AZ54*(1+'Green+Social Interface'!$I$35)</f>
        <v>0</v>
      </c>
    </row>
    <row r="55" spans="2:53" ht="15">
      <c r="B55" s="24"/>
      <c r="C55" s="25" t="s">
        <v>68</v>
      </c>
      <c r="D55" s="25" t="s">
        <v>71</v>
      </c>
      <c r="E55" s="26">
        <v>7655</v>
      </c>
      <c r="F55" s="18">
        <f>E55*VLOOKUP('Green+Social Interface'!$I$38,'Look-ups'!$A$15:$B$43,2,0)</f>
        <v>8114.3</v>
      </c>
      <c r="G55" s="27">
        <v>0.5</v>
      </c>
      <c r="H55" s="20">
        <f t="shared" si="17"/>
        <v>0</v>
      </c>
      <c r="I55" s="21">
        <f>'Green+Social Interface'!$O$6</f>
        <v>0.07</v>
      </c>
      <c r="J55" s="22"/>
      <c r="K55" s="32">
        <f t="shared" si="18"/>
        <v>0</v>
      </c>
      <c r="L55" s="32">
        <f t="shared" si="19"/>
        <v>0</v>
      </c>
      <c r="M55" s="152">
        <f>SUM(N55:BA55)</f>
        <v>0</v>
      </c>
      <c r="N55" s="33">
        <f aca="true" t="shared" si="23" ref="N55:N61">H55*G55*F55</f>
        <v>0</v>
      </c>
      <c r="O55" s="33">
        <f>N55*(1+'Green+Social Interface'!$I$35)*I55</f>
        <v>0</v>
      </c>
      <c r="P55" s="33">
        <f>O55*(1+'Green+Social Interface'!$I$35)</f>
        <v>0</v>
      </c>
      <c r="Q55" s="33">
        <f>P55*(1+'Green+Social Interface'!$I$35)</f>
        <v>0</v>
      </c>
      <c r="R55" s="33">
        <f>Q55*(1+'Green+Social Interface'!$I$35)</f>
        <v>0</v>
      </c>
      <c r="S55" s="33">
        <f>R55*(1+'Green+Social Interface'!$I$35)</f>
        <v>0</v>
      </c>
      <c r="T55" s="33">
        <f>S55*(1+'Green+Social Interface'!$I$35)</f>
        <v>0</v>
      </c>
      <c r="U55" s="33">
        <f>T55*(1+'Green+Social Interface'!$I$35)</f>
        <v>0</v>
      </c>
      <c r="V55" s="33">
        <f>U55*(1+'Green+Social Interface'!$I$35)</f>
        <v>0</v>
      </c>
      <c r="W55" s="33">
        <f>V55*(1+'Green+Social Interface'!$I$35)</f>
        <v>0</v>
      </c>
      <c r="X55" s="33">
        <f>W55*(1+'Green+Social Interface'!$I$35)</f>
        <v>0</v>
      </c>
      <c r="Y55" s="33">
        <f>X55*(1+'Green+Social Interface'!$I$35)</f>
        <v>0</v>
      </c>
      <c r="Z55" s="33">
        <f>Y55*(1+'Green+Social Interface'!$I$35)</f>
        <v>0</v>
      </c>
      <c r="AA55" s="33">
        <f>Z55*(1+'Green+Social Interface'!$I$35)</f>
        <v>0</v>
      </c>
      <c r="AB55" s="33">
        <f>AA55*(1+'Green+Social Interface'!$I$35)</f>
        <v>0</v>
      </c>
      <c r="AC55" s="33">
        <f>AB55*(1+'Green+Social Interface'!$I$35)</f>
        <v>0</v>
      </c>
      <c r="AD55" s="33">
        <f>AC55*(1+'Green+Social Interface'!$I$35)</f>
        <v>0</v>
      </c>
      <c r="AE55" s="33">
        <f>AD55*(1+'Green+Social Interface'!$I$35)</f>
        <v>0</v>
      </c>
      <c r="AF55" s="33">
        <f>AE55*(1+'Green+Social Interface'!$I$35)</f>
        <v>0</v>
      </c>
      <c r="AG55" s="33">
        <f>AF55*(1+'Green+Social Interface'!$I$35)</f>
        <v>0</v>
      </c>
      <c r="AH55" s="33">
        <f>AG55*(1+'Green+Social Interface'!$I$35)</f>
        <v>0</v>
      </c>
      <c r="AI55" s="33">
        <f>AH55*(1+'Green+Social Interface'!$I$35)</f>
        <v>0</v>
      </c>
      <c r="AJ55" s="33">
        <f>AI55*(1+'Green+Social Interface'!$I$35)</f>
        <v>0</v>
      </c>
      <c r="AK55" s="33">
        <f>AJ55*(1+'Green+Social Interface'!$I$35)</f>
        <v>0</v>
      </c>
      <c r="AL55" s="33">
        <f>AK55*(1+'Green+Social Interface'!$I$35)</f>
        <v>0</v>
      </c>
      <c r="AM55" s="33">
        <f>AL55*(1+'Green+Social Interface'!$I$35)</f>
        <v>0</v>
      </c>
      <c r="AN55" s="33">
        <f>AM55*(1+'Green+Social Interface'!$I$35)</f>
        <v>0</v>
      </c>
      <c r="AO55" s="33">
        <f>AN55*(1+'Green+Social Interface'!$I$35)</f>
        <v>0</v>
      </c>
      <c r="AP55" s="33">
        <f>AO55*(1+'Green+Social Interface'!$I$35)</f>
        <v>0</v>
      </c>
      <c r="AQ55" s="33">
        <f>AP55*(1+'Green+Social Interface'!$I$35)</f>
        <v>0</v>
      </c>
      <c r="AR55" s="33">
        <f>AQ55*(1+'Green+Social Interface'!$I$35)</f>
        <v>0</v>
      </c>
      <c r="AS55" s="33">
        <f>AR55*(1+'Green+Social Interface'!$I$35)</f>
        <v>0</v>
      </c>
      <c r="AT55" s="33">
        <f>AS55*(1+'Green+Social Interface'!$I$35)</f>
        <v>0</v>
      </c>
      <c r="AU55" s="33">
        <f>AT55*(1+'Green+Social Interface'!$I$35)</f>
        <v>0</v>
      </c>
      <c r="AV55" s="33">
        <f>AU55*(1+'Green+Social Interface'!$I$35)</f>
        <v>0</v>
      </c>
      <c r="AW55" s="33">
        <f>AV55*(1+'Green+Social Interface'!$I$35)</f>
        <v>0</v>
      </c>
      <c r="AX55" s="33">
        <f>AW55*(1+'Green+Social Interface'!$I$35)</f>
        <v>0</v>
      </c>
      <c r="AY55" s="33">
        <f>AX55*(1+'Green+Social Interface'!$I$35)</f>
        <v>0</v>
      </c>
      <c r="AZ55" s="33">
        <f>AY55*(1+'Green+Social Interface'!$I$35)</f>
        <v>0</v>
      </c>
      <c r="BA55" s="33">
        <f>AZ55*(1+'Green+Social Interface'!$I$35)</f>
        <v>0</v>
      </c>
    </row>
    <row r="56" spans="2:53" ht="15">
      <c r="B56" s="24"/>
      <c r="C56" s="25" t="s">
        <v>580</v>
      </c>
      <c r="D56" s="25" t="s">
        <v>71</v>
      </c>
      <c r="E56" s="26">
        <v>8301</v>
      </c>
      <c r="F56" s="18">
        <f>E56*VLOOKUP('Green+Social Interface'!$I$38,'Look-ups'!$A$15:$B$43,2,0)</f>
        <v>8799.060000000001</v>
      </c>
      <c r="G56" s="27">
        <v>1</v>
      </c>
      <c r="H56" s="20">
        <f>'Green+Social Interface'!J11</f>
        <v>0</v>
      </c>
      <c r="I56" s="21">
        <f>'Green+Social Interface'!$O$6</f>
        <v>0.07</v>
      </c>
      <c r="J56" s="22"/>
      <c r="K56" s="32">
        <f t="shared" si="18"/>
        <v>0</v>
      </c>
      <c r="L56" s="32">
        <f aca="true" t="shared" si="24" ref="L56">AVERAGE(N56:BA56)</f>
        <v>0</v>
      </c>
      <c r="M56" s="152">
        <f>SUM(N56:BA56)</f>
        <v>0</v>
      </c>
      <c r="N56" s="33">
        <f>H56*G56*F56</f>
        <v>0</v>
      </c>
      <c r="O56" s="33">
        <f>N56*(1+'Green+Social Interface'!$I$35)*I56</f>
        <v>0</v>
      </c>
      <c r="P56" s="33">
        <f>O56*(1+'Green+Social Interface'!$I$35)</f>
        <v>0</v>
      </c>
      <c r="Q56" s="33">
        <f>P56*(1+'Green+Social Interface'!$I$35)</f>
        <v>0</v>
      </c>
      <c r="R56" s="33">
        <f>Q56*(1+'Green+Social Interface'!$I$35)</f>
        <v>0</v>
      </c>
      <c r="S56" s="33">
        <f>R56*(1+'Green+Social Interface'!$I$35)</f>
        <v>0</v>
      </c>
      <c r="T56" s="33">
        <f>S56*(1+'Green+Social Interface'!$I$35)</f>
        <v>0</v>
      </c>
      <c r="U56" s="33">
        <f>T56*(1+'Green+Social Interface'!$I$35)</f>
        <v>0</v>
      </c>
      <c r="V56" s="33">
        <f>U56*(1+'Green+Social Interface'!$I$35)</f>
        <v>0</v>
      </c>
      <c r="W56" s="33">
        <f>V56*(1+'Green+Social Interface'!$I$35)</f>
        <v>0</v>
      </c>
      <c r="X56" s="33">
        <f>W56*(1+'Green+Social Interface'!$I$35)</f>
        <v>0</v>
      </c>
      <c r="Y56" s="33">
        <f>X56*(1+'Green+Social Interface'!$I$35)</f>
        <v>0</v>
      </c>
      <c r="Z56" s="33">
        <f>Y56*(1+'Green+Social Interface'!$I$35)</f>
        <v>0</v>
      </c>
      <c r="AA56" s="33">
        <f>Z56*(1+'Green+Social Interface'!$I$35)</f>
        <v>0</v>
      </c>
      <c r="AB56" s="33">
        <f>AA56*(1+'Green+Social Interface'!$I$35)</f>
        <v>0</v>
      </c>
      <c r="AC56" s="33">
        <f>AB56*(1+'Green+Social Interface'!$I$35)</f>
        <v>0</v>
      </c>
      <c r="AD56" s="33">
        <f>AC56*(1+'Green+Social Interface'!$I$35)</f>
        <v>0</v>
      </c>
      <c r="AE56" s="33">
        <f>AD56*(1+'Green+Social Interface'!$I$35)</f>
        <v>0</v>
      </c>
      <c r="AF56" s="33">
        <f>AE56*(1+'Green+Social Interface'!$I$35)</f>
        <v>0</v>
      </c>
      <c r="AG56" s="33">
        <f>AF56*(1+'Green+Social Interface'!$I$35)</f>
        <v>0</v>
      </c>
      <c r="AH56" s="33">
        <f>AG56*(1+'Green+Social Interface'!$I$35)</f>
        <v>0</v>
      </c>
      <c r="AI56" s="33">
        <f>AH56*(1+'Green+Social Interface'!$I$35)</f>
        <v>0</v>
      </c>
      <c r="AJ56" s="33">
        <f>AI56*(1+'Green+Social Interface'!$I$35)</f>
        <v>0</v>
      </c>
      <c r="AK56" s="33">
        <f>AJ56*(1+'Green+Social Interface'!$I$35)</f>
        <v>0</v>
      </c>
      <c r="AL56" s="33">
        <f>AK56*(1+'Green+Social Interface'!$I$35)</f>
        <v>0</v>
      </c>
      <c r="AM56" s="33">
        <f>AL56*(1+'Green+Social Interface'!$I$35)</f>
        <v>0</v>
      </c>
      <c r="AN56" s="33">
        <f>AM56*(1+'Green+Social Interface'!$I$35)</f>
        <v>0</v>
      </c>
      <c r="AO56" s="33">
        <f>AN56*(1+'Green+Social Interface'!$I$35)</f>
        <v>0</v>
      </c>
      <c r="AP56" s="33">
        <f>AO56*(1+'Green+Social Interface'!$I$35)</f>
        <v>0</v>
      </c>
      <c r="AQ56" s="33">
        <f>AP56*(1+'Green+Social Interface'!$I$35)</f>
        <v>0</v>
      </c>
      <c r="AR56" s="33">
        <f>AQ56*(1+'Green+Social Interface'!$I$35)</f>
        <v>0</v>
      </c>
      <c r="AS56" s="33">
        <f>AR56*(1+'Green+Social Interface'!$I$35)</f>
        <v>0</v>
      </c>
      <c r="AT56" s="33">
        <f>AS56*(1+'Green+Social Interface'!$I$35)</f>
        <v>0</v>
      </c>
      <c r="AU56" s="33">
        <f>AT56*(1+'Green+Social Interface'!$I$35)</f>
        <v>0</v>
      </c>
      <c r="AV56" s="33">
        <f>AU56*(1+'Green+Social Interface'!$I$35)</f>
        <v>0</v>
      </c>
      <c r="AW56" s="33">
        <f>AV56*(1+'Green+Social Interface'!$I$35)</f>
        <v>0</v>
      </c>
      <c r="AX56" s="33">
        <f>AW56*(1+'Green+Social Interface'!$I$35)</f>
        <v>0</v>
      </c>
      <c r="AY56" s="33">
        <f>AX56*(1+'Green+Social Interface'!$I$35)</f>
        <v>0</v>
      </c>
      <c r="AZ56" s="33">
        <f>AY56*(1+'Green+Social Interface'!$I$35)</f>
        <v>0</v>
      </c>
      <c r="BA56" s="33">
        <f>AZ56*(1+'Green+Social Interface'!$I$35)</f>
        <v>0</v>
      </c>
    </row>
    <row r="57" spans="2:53" ht="15">
      <c r="B57" s="24"/>
      <c r="C57" s="25" t="s">
        <v>72</v>
      </c>
      <c r="D57" s="25" t="s">
        <v>71</v>
      </c>
      <c r="E57" s="26">
        <v>4487</v>
      </c>
      <c r="F57" s="18">
        <f>E57*VLOOKUP('Green+Social Interface'!$I$38,'Look-ups'!$A$15:$B$43,2,0)</f>
        <v>4756.22</v>
      </c>
      <c r="G57" s="27">
        <v>0.25</v>
      </c>
      <c r="H57" s="31">
        <f>B85</f>
        <v>0</v>
      </c>
      <c r="I57" s="21">
        <f>'Green+Social Interface'!$O$6</f>
        <v>0.07</v>
      </c>
      <c r="J57" s="22"/>
      <c r="K57" s="32">
        <f t="shared" si="18"/>
        <v>0</v>
      </c>
      <c r="L57" s="32">
        <f t="shared" si="19"/>
        <v>0</v>
      </c>
      <c r="M57" s="152">
        <f aca="true" t="shared" si="25" ref="M57:M65">SUM(N57:BA57)</f>
        <v>0</v>
      </c>
      <c r="N57" s="33">
        <f t="shared" si="23"/>
        <v>0</v>
      </c>
      <c r="O57" s="33">
        <f>N57*(1+'Green+Social Interface'!$I$35)*I57</f>
        <v>0</v>
      </c>
      <c r="P57" s="33">
        <f>O57*(1+'Green+Social Interface'!$I$35)</f>
        <v>0</v>
      </c>
      <c r="Q57" s="33">
        <f>P57*(1+'Green+Social Interface'!$I$35)</f>
        <v>0</v>
      </c>
      <c r="R57" s="33">
        <f>Q57*(1+'Green+Social Interface'!$I$35)</f>
        <v>0</v>
      </c>
      <c r="S57" s="33">
        <f>R57*(1+'Green+Social Interface'!$I$35)</f>
        <v>0</v>
      </c>
      <c r="T57" s="33">
        <f>S57*(1+'Green+Social Interface'!$I$35)</f>
        <v>0</v>
      </c>
      <c r="U57" s="33">
        <f>T57*(1+'Green+Social Interface'!$I$35)</f>
        <v>0</v>
      </c>
      <c r="V57" s="33">
        <f>U57*(1+'Green+Social Interface'!$I$35)</f>
        <v>0</v>
      </c>
      <c r="W57" s="33">
        <f>V57*(1+'Green+Social Interface'!$I$35)</f>
        <v>0</v>
      </c>
      <c r="X57" s="33">
        <f>W57*(1+'Green+Social Interface'!$I$35)</f>
        <v>0</v>
      </c>
      <c r="Y57" s="33">
        <f>X57*(1+'Green+Social Interface'!$I$35)</f>
        <v>0</v>
      </c>
      <c r="Z57" s="33">
        <f>Y57*(1+'Green+Social Interface'!$I$35)</f>
        <v>0</v>
      </c>
      <c r="AA57" s="33">
        <f>Z57*(1+'Green+Social Interface'!$I$35)</f>
        <v>0</v>
      </c>
      <c r="AB57" s="33">
        <f>AA57*(1+'Green+Social Interface'!$I$35)</f>
        <v>0</v>
      </c>
      <c r="AC57" s="33">
        <f>AB57*(1+'Green+Social Interface'!$I$35)</f>
        <v>0</v>
      </c>
      <c r="AD57" s="33">
        <f>AC57*(1+'Green+Social Interface'!$I$35)</f>
        <v>0</v>
      </c>
      <c r="AE57" s="33">
        <f>AD57*(1+'Green+Social Interface'!$I$35)</f>
        <v>0</v>
      </c>
      <c r="AF57" s="33">
        <f>AE57*(1+'Green+Social Interface'!$I$35)</f>
        <v>0</v>
      </c>
      <c r="AG57" s="33">
        <f>AF57*(1+'Green+Social Interface'!$I$35)</f>
        <v>0</v>
      </c>
      <c r="AH57" s="33">
        <f>AG57*(1+'Green+Social Interface'!$I$35)</f>
        <v>0</v>
      </c>
      <c r="AI57" s="33">
        <f>AH57*(1+'Green+Social Interface'!$I$35)</f>
        <v>0</v>
      </c>
      <c r="AJ57" s="33">
        <f>AI57*(1+'Green+Social Interface'!$I$35)</f>
        <v>0</v>
      </c>
      <c r="AK57" s="33">
        <f>AJ57*(1+'Green+Social Interface'!$I$35)</f>
        <v>0</v>
      </c>
      <c r="AL57" s="33">
        <f>AK57*(1+'Green+Social Interface'!$I$35)</f>
        <v>0</v>
      </c>
      <c r="AM57" s="33">
        <f>AL57*(1+'Green+Social Interface'!$I$35)</f>
        <v>0</v>
      </c>
      <c r="AN57" s="33">
        <f>AM57*(1+'Green+Social Interface'!$I$35)</f>
        <v>0</v>
      </c>
      <c r="AO57" s="33">
        <f>AN57*(1+'Green+Social Interface'!$I$35)</f>
        <v>0</v>
      </c>
      <c r="AP57" s="33">
        <f>AO57*(1+'Green+Social Interface'!$I$35)</f>
        <v>0</v>
      </c>
      <c r="AQ57" s="33">
        <f>AP57*(1+'Green+Social Interface'!$I$35)</f>
        <v>0</v>
      </c>
      <c r="AR57" s="33">
        <f>AQ57*(1+'Green+Social Interface'!$I$35)</f>
        <v>0</v>
      </c>
      <c r="AS57" s="33">
        <f>AR57*(1+'Green+Social Interface'!$I$35)</f>
        <v>0</v>
      </c>
      <c r="AT57" s="33">
        <f>AS57*(1+'Green+Social Interface'!$I$35)</f>
        <v>0</v>
      </c>
      <c r="AU57" s="33">
        <f>AT57*(1+'Green+Social Interface'!$I$35)</f>
        <v>0</v>
      </c>
      <c r="AV57" s="33">
        <f>AU57*(1+'Green+Social Interface'!$I$35)</f>
        <v>0</v>
      </c>
      <c r="AW57" s="33">
        <f>AV57*(1+'Green+Social Interface'!$I$35)</f>
        <v>0</v>
      </c>
      <c r="AX57" s="33">
        <f>AW57*(1+'Green+Social Interface'!$I$35)</f>
        <v>0</v>
      </c>
      <c r="AY57" s="33">
        <f>AX57*(1+'Green+Social Interface'!$I$35)</f>
        <v>0</v>
      </c>
      <c r="AZ57" s="33">
        <f>AY57*(1+'Green+Social Interface'!$I$35)</f>
        <v>0</v>
      </c>
      <c r="BA57" s="33">
        <f>AZ57*(1+'Green+Social Interface'!$I$35)</f>
        <v>0</v>
      </c>
    </row>
    <row r="58" spans="2:53" ht="15">
      <c r="B58" s="24"/>
      <c r="C58" s="25" t="s">
        <v>417</v>
      </c>
      <c r="D58" s="25" t="s">
        <v>71</v>
      </c>
      <c r="E58" s="26">
        <v>2363</v>
      </c>
      <c r="F58" s="18">
        <f>E58*VLOOKUP('Green+Social Interface'!$I$38,'Look-ups'!$A$15:$B$43,2,0)</f>
        <v>2504.78</v>
      </c>
      <c r="G58" s="27">
        <v>0.05</v>
      </c>
      <c r="H58" s="31">
        <f>H38</f>
        <v>0</v>
      </c>
      <c r="I58" s="21">
        <f>'Green+Social Interface'!$O$6</f>
        <v>0.07</v>
      </c>
      <c r="J58" s="22"/>
      <c r="K58" s="32">
        <f t="shared" si="18"/>
        <v>0</v>
      </c>
      <c r="L58" s="32">
        <f t="shared" si="19"/>
        <v>0</v>
      </c>
      <c r="M58" s="152">
        <f t="shared" si="25"/>
        <v>0</v>
      </c>
      <c r="N58" s="33">
        <f t="shared" si="23"/>
        <v>0</v>
      </c>
      <c r="O58" s="33">
        <f>N58*(1+'Green+Social Interface'!$I$35)*I58</f>
        <v>0</v>
      </c>
      <c r="P58" s="33">
        <f>O58*(1+'Green+Social Interface'!$I$35)</f>
        <v>0</v>
      </c>
      <c r="Q58" s="33">
        <f>P58*(1+'Green+Social Interface'!$I$35)</f>
        <v>0</v>
      </c>
      <c r="R58" s="33">
        <f>Q58*(1+'Green+Social Interface'!$I$35)</f>
        <v>0</v>
      </c>
      <c r="S58" s="33">
        <f>R58*(1+'Green+Social Interface'!$I$35)</f>
        <v>0</v>
      </c>
      <c r="T58" s="33">
        <f>S58*(1+'Green+Social Interface'!$I$35)</f>
        <v>0</v>
      </c>
      <c r="U58" s="33">
        <f>T58*(1+'Green+Social Interface'!$I$35)</f>
        <v>0</v>
      </c>
      <c r="V58" s="33">
        <f>U58*(1+'Green+Social Interface'!$I$35)</f>
        <v>0</v>
      </c>
      <c r="W58" s="33">
        <f>V58*(1+'Green+Social Interface'!$I$35)</f>
        <v>0</v>
      </c>
      <c r="X58" s="33">
        <f>W58*(1+'Green+Social Interface'!$I$35)</f>
        <v>0</v>
      </c>
      <c r="Y58" s="33">
        <f>X58*(1+'Green+Social Interface'!$I$35)</f>
        <v>0</v>
      </c>
      <c r="Z58" s="33">
        <f>Y58*(1+'Green+Social Interface'!$I$35)</f>
        <v>0</v>
      </c>
      <c r="AA58" s="33">
        <f>Z58*(1+'Green+Social Interface'!$I$35)</f>
        <v>0</v>
      </c>
      <c r="AB58" s="33">
        <f>AA58*(1+'Green+Social Interface'!$I$35)</f>
        <v>0</v>
      </c>
      <c r="AC58" s="33">
        <f>AB58*(1+'Green+Social Interface'!$I$35)</f>
        <v>0</v>
      </c>
      <c r="AD58" s="33">
        <f>AC58*(1+'Green+Social Interface'!$I$35)</f>
        <v>0</v>
      </c>
      <c r="AE58" s="33">
        <f>AD58*(1+'Green+Social Interface'!$I$35)</f>
        <v>0</v>
      </c>
      <c r="AF58" s="33">
        <f>AE58*(1+'Green+Social Interface'!$I$35)</f>
        <v>0</v>
      </c>
      <c r="AG58" s="33">
        <f>AF58*(1+'Green+Social Interface'!$I$35)</f>
        <v>0</v>
      </c>
      <c r="AH58" s="33">
        <f>AG58*(1+'Green+Social Interface'!$I$35)</f>
        <v>0</v>
      </c>
      <c r="AI58" s="33">
        <f>AH58*(1+'Green+Social Interface'!$I$35)</f>
        <v>0</v>
      </c>
      <c r="AJ58" s="33">
        <f>AI58*(1+'Green+Social Interface'!$I$35)</f>
        <v>0</v>
      </c>
      <c r="AK58" s="33">
        <f>AJ58*(1+'Green+Social Interface'!$I$35)</f>
        <v>0</v>
      </c>
      <c r="AL58" s="33">
        <f>AK58*(1+'Green+Social Interface'!$I$35)</f>
        <v>0</v>
      </c>
      <c r="AM58" s="33">
        <f>AL58*(1+'Green+Social Interface'!$I$35)</f>
        <v>0</v>
      </c>
      <c r="AN58" s="33">
        <f>AM58*(1+'Green+Social Interface'!$I$35)</f>
        <v>0</v>
      </c>
      <c r="AO58" s="33">
        <f>AN58*(1+'Green+Social Interface'!$I$35)</f>
        <v>0</v>
      </c>
      <c r="AP58" s="33">
        <f>AO58*(1+'Green+Social Interface'!$I$35)</f>
        <v>0</v>
      </c>
      <c r="AQ58" s="33">
        <f>AP58*(1+'Green+Social Interface'!$I$35)</f>
        <v>0</v>
      </c>
      <c r="AR58" s="33">
        <f>AQ58*(1+'Green+Social Interface'!$I$35)</f>
        <v>0</v>
      </c>
      <c r="AS58" s="33">
        <f>AR58*(1+'Green+Social Interface'!$I$35)</f>
        <v>0</v>
      </c>
      <c r="AT58" s="33">
        <f>AS58*(1+'Green+Social Interface'!$I$35)</f>
        <v>0</v>
      </c>
      <c r="AU58" s="33">
        <f>AT58*(1+'Green+Social Interface'!$I$35)</f>
        <v>0</v>
      </c>
      <c r="AV58" s="33">
        <f>AU58*(1+'Green+Social Interface'!$I$35)</f>
        <v>0</v>
      </c>
      <c r="AW58" s="33">
        <f>AV58*(1+'Green+Social Interface'!$I$35)</f>
        <v>0</v>
      </c>
      <c r="AX58" s="33">
        <f>AW58*(1+'Green+Social Interface'!$I$35)</f>
        <v>0</v>
      </c>
      <c r="AY58" s="33">
        <f>AX58*(1+'Green+Social Interface'!$I$35)</f>
        <v>0</v>
      </c>
      <c r="AZ58" s="33">
        <f>AY58*(1+'Green+Social Interface'!$I$35)</f>
        <v>0</v>
      </c>
      <c r="BA58" s="33">
        <f>AZ58*(1+'Green+Social Interface'!$I$35)</f>
        <v>0</v>
      </c>
    </row>
    <row r="59" spans="2:53" ht="15">
      <c r="B59" s="24"/>
      <c r="C59" s="25" t="s">
        <v>418</v>
      </c>
      <c r="D59" s="25" t="s">
        <v>71</v>
      </c>
      <c r="E59" s="26">
        <v>11825</v>
      </c>
      <c r="F59" s="18">
        <f>E59*VLOOKUP('Green+Social Interface'!$I$38,'Look-ups'!$A$15:$B$43,2,0)</f>
        <v>12534.5</v>
      </c>
      <c r="G59" s="27">
        <v>0.06</v>
      </c>
      <c r="H59" s="31">
        <f>H40</f>
        <v>0</v>
      </c>
      <c r="I59" s="21">
        <f>'Green+Social Interface'!$O$6</f>
        <v>0.07</v>
      </c>
      <c r="J59" s="22"/>
      <c r="K59" s="32">
        <f t="shared" si="18"/>
        <v>0</v>
      </c>
      <c r="L59" s="32">
        <f t="shared" si="19"/>
        <v>0</v>
      </c>
      <c r="M59" s="152">
        <f t="shared" si="25"/>
        <v>0</v>
      </c>
      <c r="N59" s="33">
        <f t="shared" si="23"/>
        <v>0</v>
      </c>
      <c r="O59" s="33">
        <f>N59*(1+'Green+Social Interface'!$I$35)*I59</f>
        <v>0</v>
      </c>
      <c r="P59" s="33">
        <f>O59*(1+'Green+Social Interface'!$I$35)</f>
        <v>0</v>
      </c>
      <c r="Q59" s="33">
        <f>P59*(1+'Green+Social Interface'!$I$35)</f>
        <v>0</v>
      </c>
      <c r="R59" s="33">
        <f>Q59*(1+'Green+Social Interface'!$I$35)</f>
        <v>0</v>
      </c>
      <c r="S59" s="33">
        <f>R59*(1+'Green+Social Interface'!$I$35)</f>
        <v>0</v>
      </c>
      <c r="T59" s="33">
        <f>S59*(1+'Green+Social Interface'!$I$35)</f>
        <v>0</v>
      </c>
      <c r="U59" s="33">
        <f>T59*(1+'Green+Social Interface'!$I$35)</f>
        <v>0</v>
      </c>
      <c r="V59" s="33">
        <f>U59*(1+'Green+Social Interface'!$I$35)</f>
        <v>0</v>
      </c>
      <c r="W59" s="33">
        <f>V59*(1+'Green+Social Interface'!$I$35)</f>
        <v>0</v>
      </c>
      <c r="X59" s="33">
        <f>W59*(1+'Green+Social Interface'!$I$35)</f>
        <v>0</v>
      </c>
      <c r="Y59" s="33">
        <f>X59*(1+'Green+Social Interface'!$I$35)</f>
        <v>0</v>
      </c>
      <c r="Z59" s="33">
        <f>Y59*(1+'Green+Social Interface'!$I$35)</f>
        <v>0</v>
      </c>
      <c r="AA59" s="33">
        <f>Z59*(1+'Green+Social Interface'!$I$35)</f>
        <v>0</v>
      </c>
      <c r="AB59" s="33">
        <f>AA59*(1+'Green+Social Interface'!$I$35)</f>
        <v>0</v>
      </c>
      <c r="AC59" s="33">
        <f>AB59*(1+'Green+Social Interface'!$I$35)</f>
        <v>0</v>
      </c>
      <c r="AD59" s="33">
        <f>AC59*(1+'Green+Social Interface'!$I$35)</f>
        <v>0</v>
      </c>
      <c r="AE59" s="33">
        <f>AD59*(1+'Green+Social Interface'!$I$35)</f>
        <v>0</v>
      </c>
      <c r="AF59" s="33">
        <f>AE59*(1+'Green+Social Interface'!$I$35)</f>
        <v>0</v>
      </c>
      <c r="AG59" s="33">
        <f>AF59*(1+'Green+Social Interface'!$I$35)</f>
        <v>0</v>
      </c>
      <c r="AH59" s="33">
        <f>AG59*(1+'Green+Social Interface'!$I$35)</f>
        <v>0</v>
      </c>
      <c r="AI59" s="33">
        <f>AH59*(1+'Green+Social Interface'!$I$35)</f>
        <v>0</v>
      </c>
      <c r="AJ59" s="33">
        <f>AI59*(1+'Green+Social Interface'!$I$35)</f>
        <v>0</v>
      </c>
      <c r="AK59" s="33">
        <f>AJ59*(1+'Green+Social Interface'!$I$35)</f>
        <v>0</v>
      </c>
      <c r="AL59" s="33">
        <f>AK59*(1+'Green+Social Interface'!$I$35)</f>
        <v>0</v>
      </c>
      <c r="AM59" s="33">
        <f>AL59*(1+'Green+Social Interface'!$I$35)</f>
        <v>0</v>
      </c>
      <c r="AN59" s="33">
        <f>AM59*(1+'Green+Social Interface'!$I$35)</f>
        <v>0</v>
      </c>
      <c r="AO59" s="33">
        <f>AN59*(1+'Green+Social Interface'!$I$35)</f>
        <v>0</v>
      </c>
      <c r="AP59" s="33">
        <f>AO59*(1+'Green+Social Interface'!$I$35)</f>
        <v>0</v>
      </c>
      <c r="AQ59" s="33">
        <f>AP59*(1+'Green+Social Interface'!$I$35)</f>
        <v>0</v>
      </c>
      <c r="AR59" s="33">
        <f>AQ59*(1+'Green+Social Interface'!$I$35)</f>
        <v>0</v>
      </c>
      <c r="AS59" s="33">
        <f>AR59*(1+'Green+Social Interface'!$I$35)</f>
        <v>0</v>
      </c>
      <c r="AT59" s="33">
        <f>AS59*(1+'Green+Social Interface'!$I$35)</f>
        <v>0</v>
      </c>
      <c r="AU59" s="33">
        <f>AT59*(1+'Green+Social Interface'!$I$35)</f>
        <v>0</v>
      </c>
      <c r="AV59" s="33">
        <f>AU59*(1+'Green+Social Interface'!$I$35)</f>
        <v>0</v>
      </c>
      <c r="AW59" s="33">
        <f>AV59*(1+'Green+Social Interface'!$I$35)</f>
        <v>0</v>
      </c>
      <c r="AX59" s="33">
        <f>AW59*(1+'Green+Social Interface'!$I$35)</f>
        <v>0</v>
      </c>
      <c r="AY59" s="33">
        <f>AX59*(1+'Green+Social Interface'!$I$35)</f>
        <v>0</v>
      </c>
      <c r="AZ59" s="33">
        <f>AY59*(1+'Green+Social Interface'!$I$35)</f>
        <v>0</v>
      </c>
      <c r="BA59" s="33">
        <f>AZ59*(1+'Green+Social Interface'!$I$35)</f>
        <v>0</v>
      </c>
    </row>
    <row r="60" spans="2:53" ht="15">
      <c r="B60" s="24"/>
      <c r="C60" s="25" t="s">
        <v>419</v>
      </c>
      <c r="D60" s="25" t="s">
        <v>71</v>
      </c>
      <c r="E60" s="26">
        <v>3070</v>
      </c>
      <c r="F60" s="18">
        <f>E60*VLOOKUP('Green+Social Interface'!$I$38,'Look-ups'!$A$15:$B$43,2,0)</f>
        <v>3254.2000000000003</v>
      </c>
      <c r="G60" s="27">
        <v>1</v>
      </c>
      <c r="H60" s="31">
        <f>H45</f>
        <v>0</v>
      </c>
      <c r="I60" s="21">
        <f>'Green+Social Interface'!$O$6</f>
        <v>0.07</v>
      </c>
      <c r="J60" s="22"/>
      <c r="K60" s="32">
        <f t="shared" si="18"/>
        <v>0</v>
      </c>
      <c r="L60" s="32">
        <f t="shared" si="19"/>
        <v>0</v>
      </c>
      <c r="M60" s="152">
        <f t="shared" si="25"/>
        <v>0</v>
      </c>
      <c r="N60" s="33">
        <f t="shared" si="23"/>
        <v>0</v>
      </c>
      <c r="O60" s="33">
        <f>N60*(1+'Green+Social Interface'!$I$35)*I60</f>
        <v>0</v>
      </c>
      <c r="P60" s="33">
        <f>O60*(1+'Green+Social Interface'!$I$35)</f>
        <v>0</v>
      </c>
      <c r="Q60" s="33">
        <f>P60*(1+'Green+Social Interface'!$I$35)</f>
        <v>0</v>
      </c>
      <c r="R60" s="33">
        <f>Q60*(1+'Green+Social Interface'!$I$35)</f>
        <v>0</v>
      </c>
      <c r="S60" s="33">
        <f>R60*(1+'Green+Social Interface'!$I$35)</f>
        <v>0</v>
      </c>
      <c r="T60" s="33">
        <f>S60*(1+'Green+Social Interface'!$I$35)</f>
        <v>0</v>
      </c>
      <c r="U60" s="33">
        <f>T60*(1+'Green+Social Interface'!$I$35)</f>
        <v>0</v>
      </c>
      <c r="V60" s="33">
        <f>U60*(1+'Green+Social Interface'!$I$35)</f>
        <v>0</v>
      </c>
      <c r="W60" s="33">
        <f>V60*(1+'Green+Social Interface'!$I$35)</f>
        <v>0</v>
      </c>
      <c r="X60" s="33">
        <f>W60*(1+'Green+Social Interface'!$I$35)</f>
        <v>0</v>
      </c>
      <c r="Y60" s="33">
        <f>X60*(1+'Green+Social Interface'!$I$35)</f>
        <v>0</v>
      </c>
      <c r="Z60" s="33">
        <f>Y60*(1+'Green+Social Interface'!$I$35)</f>
        <v>0</v>
      </c>
      <c r="AA60" s="33">
        <f>Z60*(1+'Green+Social Interface'!$I$35)</f>
        <v>0</v>
      </c>
      <c r="AB60" s="33">
        <f>AA60*(1+'Green+Social Interface'!$I$35)</f>
        <v>0</v>
      </c>
      <c r="AC60" s="33">
        <f>AB60*(1+'Green+Social Interface'!$I$35)</f>
        <v>0</v>
      </c>
      <c r="AD60" s="33">
        <f>AC60*(1+'Green+Social Interface'!$I$35)</f>
        <v>0</v>
      </c>
      <c r="AE60" s="33">
        <f>AD60*(1+'Green+Social Interface'!$I$35)</f>
        <v>0</v>
      </c>
      <c r="AF60" s="33">
        <f>AE60*(1+'Green+Social Interface'!$I$35)</f>
        <v>0</v>
      </c>
      <c r="AG60" s="33">
        <f>AF60*(1+'Green+Social Interface'!$I$35)</f>
        <v>0</v>
      </c>
      <c r="AH60" s="33">
        <f>AG60*(1+'Green+Social Interface'!$I$35)</f>
        <v>0</v>
      </c>
      <c r="AI60" s="33">
        <f>AH60*(1+'Green+Social Interface'!$I$35)</f>
        <v>0</v>
      </c>
      <c r="AJ60" s="33">
        <f>AI60*(1+'Green+Social Interface'!$I$35)</f>
        <v>0</v>
      </c>
      <c r="AK60" s="33">
        <f>AJ60*(1+'Green+Social Interface'!$I$35)</f>
        <v>0</v>
      </c>
      <c r="AL60" s="33">
        <f>AK60*(1+'Green+Social Interface'!$I$35)</f>
        <v>0</v>
      </c>
      <c r="AM60" s="33">
        <f>AL60*(1+'Green+Social Interface'!$I$35)</f>
        <v>0</v>
      </c>
      <c r="AN60" s="33">
        <f>AM60*(1+'Green+Social Interface'!$I$35)</f>
        <v>0</v>
      </c>
      <c r="AO60" s="33">
        <f>AN60*(1+'Green+Social Interface'!$I$35)</f>
        <v>0</v>
      </c>
      <c r="AP60" s="33">
        <f>AO60*(1+'Green+Social Interface'!$I$35)</f>
        <v>0</v>
      </c>
      <c r="AQ60" s="33">
        <f>AP60*(1+'Green+Social Interface'!$I$35)</f>
        <v>0</v>
      </c>
      <c r="AR60" s="33">
        <f>AQ60*(1+'Green+Social Interface'!$I$35)</f>
        <v>0</v>
      </c>
      <c r="AS60" s="33">
        <f>AR60*(1+'Green+Social Interface'!$I$35)</f>
        <v>0</v>
      </c>
      <c r="AT60" s="33">
        <f>AS60*(1+'Green+Social Interface'!$I$35)</f>
        <v>0</v>
      </c>
      <c r="AU60" s="33">
        <f>AT60*(1+'Green+Social Interface'!$I$35)</f>
        <v>0</v>
      </c>
      <c r="AV60" s="33">
        <f>AU60*(1+'Green+Social Interface'!$I$35)</f>
        <v>0</v>
      </c>
      <c r="AW60" s="33">
        <f>AV60*(1+'Green+Social Interface'!$I$35)</f>
        <v>0</v>
      </c>
      <c r="AX60" s="33">
        <f>AW60*(1+'Green+Social Interface'!$I$35)</f>
        <v>0</v>
      </c>
      <c r="AY60" s="33">
        <f>AX60*(1+'Green+Social Interface'!$I$35)</f>
        <v>0</v>
      </c>
      <c r="AZ60" s="33">
        <f>AY60*(1+'Green+Social Interface'!$I$35)</f>
        <v>0</v>
      </c>
      <c r="BA60" s="33">
        <f>AZ60*(1+'Green+Social Interface'!$I$35)</f>
        <v>0</v>
      </c>
    </row>
    <row r="61" spans="2:53" ht="15">
      <c r="B61" s="66"/>
      <c r="C61" s="67" t="s">
        <v>420</v>
      </c>
      <c r="D61" s="67" t="s">
        <v>71</v>
      </c>
      <c r="E61" s="68">
        <v>7672</v>
      </c>
      <c r="F61" s="18">
        <f>E61*VLOOKUP('Green+Social Interface'!$I$38,'Look-ups'!$A$15:$B$43,2,0)</f>
        <v>8132.320000000001</v>
      </c>
      <c r="G61" s="69">
        <v>0.06</v>
      </c>
      <c r="H61" s="31">
        <f>(0.5*H$138)+(0.3*H$139)</f>
        <v>0</v>
      </c>
      <c r="I61" s="21">
        <f>'Green+Social Interface'!$O$6</f>
        <v>0.07</v>
      </c>
      <c r="J61" s="22"/>
      <c r="K61" s="70">
        <f t="shared" si="18"/>
        <v>0</v>
      </c>
      <c r="L61" s="70">
        <f t="shared" si="19"/>
        <v>0</v>
      </c>
      <c r="M61" s="154">
        <f t="shared" si="25"/>
        <v>0</v>
      </c>
      <c r="N61" s="71">
        <f t="shared" si="23"/>
        <v>0</v>
      </c>
      <c r="O61" s="71">
        <f>N61*(1+'Green+Social Interface'!$I$35)*I61</f>
        <v>0</v>
      </c>
      <c r="P61" s="71">
        <f>O61*(1+'Green+Social Interface'!$I$35)</f>
        <v>0</v>
      </c>
      <c r="Q61" s="71">
        <f>P61*(1+'Green+Social Interface'!$I$35)</f>
        <v>0</v>
      </c>
      <c r="R61" s="71">
        <f>Q61*(1+'Green+Social Interface'!$I$35)</f>
        <v>0</v>
      </c>
      <c r="S61" s="71">
        <f>R61*(1+'Green+Social Interface'!$I$35)</f>
        <v>0</v>
      </c>
      <c r="T61" s="71">
        <f>S61*(1+'Green+Social Interface'!$I$35)</f>
        <v>0</v>
      </c>
      <c r="U61" s="71">
        <f>T61*(1+'Green+Social Interface'!$I$35)</f>
        <v>0</v>
      </c>
      <c r="V61" s="71">
        <f>U61*(1+'Green+Social Interface'!$I$35)</f>
        <v>0</v>
      </c>
      <c r="W61" s="71">
        <f>V61*(1+'Green+Social Interface'!$I$35)</f>
        <v>0</v>
      </c>
      <c r="X61" s="71">
        <f>W61*(1+'Green+Social Interface'!$I$35)</f>
        <v>0</v>
      </c>
      <c r="Y61" s="71">
        <f>X61*(1+'Green+Social Interface'!$I$35)</f>
        <v>0</v>
      </c>
      <c r="Z61" s="71">
        <f>Y61*(1+'Green+Social Interface'!$I$35)</f>
        <v>0</v>
      </c>
      <c r="AA61" s="71">
        <f>Z61*(1+'Green+Social Interface'!$I$35)</f>
        <v>0</v>
      </c>
      <c r="AB61" s="71">
        <f>AA61*(1+'Green+Social Interface'!$I$35)</f>
        <v>0</v>
      </c>
      <c r="AC61" s="71">
        <f>AB61*(1+'Green+Social Interface'!$I$35)</f>
        <v>0</v>
      </c>
      <c r="AD61" s="71">
        <f>AC61*(1+'Green+Social Interface'!$I$35)</f>
        <v>0</v>
      </c>
      <c r="AE61" s="71">
        <f>AD61*(1+'Green+Social Interface'!$I$35)</f>
        <v>0</v>
      </c>
      <c r="AF61" s="71">
        <f>AE61*(1+'Green+Social Interface'!$I$35)</f>
        <v>0</v>
      </c>
      <c r="AG61" s="71">
        <f>AF61*(1+'Green+Social Interface'!$I$35)</f>
        <v>0</v>
      </c>
      <c r="AH61" s="71">
        <f>AG61*(1+'Green+Social Interface'!$I$35)</f>
        <v>0</v>
      </c>
      <c r="AI61" s="71">
        <f>AH61*(1+'Green+Social Interface'!$I$35)</f>
        <v>0</v>
      </c>
      <c r="AJ61" s="71">
        <f>AI61*(1+'Green+Social Interface'!$I$35)</f>
        <v>0</v>
      </c>
      <c r="AK61" s="71">
        <f>AJ61*(1+'Green+Social Interface'!$I$35)</f>
        <v>0</v>
      </c>
      <c r="AL61" s="71">
        <f>AK61*(1+'Green+Social Interface'!$I$35)</f>
        <v>0</v>
      </c>
      <c r="AM61" s="71">
        <f>AL61*(1+'Green+Social Interface'!$I$35)</f>
        <v>0</v>
      </c>
      <c r="AN61" s="71">
        <f>AM61*(1+'Green+Social Interface'!$I$35)</f>
        <v>0</v>
      </c>
      <c r="AO61" s="71">
        <f>AN61*(1+'Green+Social Interface'!$I$35)</f>
        <v>0</v>
      </c>
      <c r="AP61" s="71">
        <f>AO61*(1+'Green+Social Interface'!$I$35)</f>
        <v>0</v>
      </c>
      <c r="AQ61" s="71">
        <f>AP61*(1+'Green+Social Interface'!$I$35)</f>
        <v>0</v>
      </c>
      <c r="AR61" s="71">
        <f>AQ61*(1+'Green+Social Interface'!$I$35)</f>
        <v>0</v>
      </c>
      <c r="AS61" s="71">
        <f>AR61*(1+'Green+Social Interface'!$I$35)</f>
        <v>0</v>
      </c>
      <c r="AT61" s="71">
        <f>AS61*(1+'Green+Social Interface'!$I$35)</f>
        <v>0</v>
      </c>
      <c r="AU61" s="71">
        <f>AT61*(1+'Green+Social Interface'!$I$35)</f>
        <v>0</v>
      </c>
      <c r="AV61" s="71">
        <f>AU61*(1+'Green+Social Interface'!$I$35)</f>
        <v>0</v>
      </c>
      <c r="AW61" s="71">
        <f>AV61*(1+'Green+Social Interface'!$I$35)</f>
        <v>0</v>
      </c>
      <c r="AX61" s="71">
        <f>AW61*(1+'Green+Social Interface'!$I$35)</f>
        <v>0</v>
      </c>
      <c r="AY61" s="71">
        <f>AX61*(1+'Green+Social Interface'!$I$35)</f>
        <v>0</v>
      </c>
      <c r="AZ61" s="71">
        <f>AY61*(1+'Green+Social Interface'!$I$35)</f>
        <v>0</v>
      </c>
      <c r="BA61" s="71">
        <f>AZ61*(1+'Green+Social Interface'!$I$35)</f>
        <v>0</v>
      </c>
    </row>
    <row r="62" spans="2:53" ht="15">
      <c r="B62" s="41" t="s">
        <v>83</v>
      </c>
      <c r="C62" s="42"/>
      <c r="D62" s="42"/>
      <c r="E62" s="42"/>
      <c r="F62" s="42"/>
      <c r="G62" s="42"/>
      <c r="H62" s="42"/>
      <c r="I62" s="46"/>
      <c r="J62" s="3"/>
      <c r="K62" s="163">
        <f t="shared" si="18"/>
        <v>0</v>
      </c>
      <c r="L62" s="163">
        <f t="shared" si="19"/>
        <v>0</v>
      </c>
      <c r="M62" s="48">
        <f t="shared" si="25"/>
        <v>0</v>
      </c>
      <c r="N62" s="47">
        <f>SUM(N50:N61)</f>
        <v>0</v>
      </c>
      <c r="O62" s="47">
        <f aca="true" t="shared" si="26" ref="O62:BA62">SUM(O50:O61)</f>
        <v>0</v>
      </c>
      <c r="P62" s="47">
        <f t="shared" si="26"/>
        <v>0</v>
      </c>
      <c r="Q62" s="47">
        <f t="shared" si="26"/>
        <v>0</v>
      </c>
      <c r="R62" s="47">
        <f t="shared" si="26"/>
        <v>0</v>
      </c>
      <c r="S62" s="47">
        <f t="shared" si="26"/>
        <v>0</v>
      </c>
      <c r="T62" s="47">
        <f t="shared" si="26"/>
        <v>0</v>
      </c>
      <c r="U62" s="47">
        <f t="shared" si="26"/>
        <v>0</v>
      </c>
      <c r="V62" s="47">
        <f t="shared" si="26"/>
        <v>0</v>
      </c>
      <c r="W62" s="47">
        <f t="shared" si="26"/>
        <v>0</v>
      </c>
      <c r="X62" s="47">
        <f t="shared" si="26"/>
        <v>0</v>
      </c>
      <c r="Y62" s="47">
        <f t="shared" si="26"/>
        <v>0</v>
      </c>
      <c r="Z62" s="47">
        <f t="shared" si="26"/>
        <v>0</v>
      </c>
      <c r="AA62" s="47">
        <f t="shared" si="26"/>
        <v>0</v>
      </c>
      <c r="AB62" s="47">
        <f t="shared" si="26"/>
        <v>0</v>
      </c>
      <c r="AC62" s="47">
        <f t="shared" si="26"/>
        <v>0</v>
      </c>
      <c r="AD62" s="47">
        <f t="shared" si="26"/>
        <v>0</v>
      </c>
      <c r="AE62" s="47">
        <f t="shared" si="26"/>
        <v>0</v>
      </c>
      <c r="AF62" s="47">
        <f t="shared" si="26"/>
        <v>0</v>
      </c>
      <c r="AG62" s="47">
        <f t="shared" si="26"/>
        <v>0</v>
      </c>
      <c r="AH62" s="47">
        <f t="shared" si="26"/>
        <v>0</v>
      </c>
      <c r="AI62" s="47">
        <f t="shared" si="26"/>
        <v>0</v>
      </c>
      <c r="AJ62" s="47">
        <f t="shared" si="26"/>
        <v>0</v>
      </c>
      <c r="AK62" s="47">
        <f t="shared" si="26"/>
        <v>0</v>
      </c>
      <c r="AL62" s="47">
        <f t="shared" si="26"/>
        <v>0</v>
      </c>
      <c r="AM62" s="47">
        <f t="shared" si="26"/>
        <v>0</v>
      </c>
      <c r="AN62" s="47">
        <f t="shared" si="26"/>
        <v>0</v>
      </c>
      <c r="AO62" s="47">
        <f t="shared" si="26"/>
        <v>0</v>
      </c>
      <c r="AP62" s="47">
        <f t="shared" si="26"/>
        <v>0</v>
      </c>
      <c r="AQ62" s="47">
        <f t="shared" si="26"/>
        <v>0</v>
      </c>
      <c r="AR62" s="47">
        <f t="shared" si="26"/>
        <v>0</v>
      </c>
      <c r="AS62" s="47">
        <f t="shared" si="26"/>
        <v>0</v>
      </c>
      <c r="AT62" s="47">
        <f t="shared" si="26"/>
        <v>0</v>
      </c>
      <c r="AU62" s="47">
        <f t="shared" si="26"/>
        <v>0</v>
      </c>
      <c r="AV62" s="47">
        <f t="shared" si="26"/>
        <v>0</v>
      </c>
      <c r="AW62" s="47">
        <f t="shared" si="26"/>
        <v>0</v>
      </c>
      <c r="AX62" s="47">
        <f t="shared" si="26"/>
        <v>0</v>
      </c>
      <c r="AY62" s="47">
        <f t="shared" si="26"/>
        <v>0</v>
      </c>
      <c r="AZ62" s="47">
        <f t="shared" si="26"/>
        <v>0</v>
      </c>
      <c r="BA62" s="48">
        <f t="shared" si="26"/>
        <v>0</v>
      </c>
    </row>
    <row r="63" spans="2:53" ht="4.5" customHeight="1">
      <c r="B63" s="72"/>
      <c r="C63" s="10"/>
      <c r="D63" s="10"/>
      <c r="E63" s="10"/>
      <c r="F63" s="10"/>
      <c r="G63" s="10"/>
      <c r="H63" s="10"/>
      <c r="I63" s="73"/>
      <c r="J63" s="10"/>
      <c r="K63" s="164">
        <f t="shared" si="18"/>
        <v>0</v>
      </c>
      <c r="L63" s="164"/>
      <c r="M63" s="155"/>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row>
    <row r="64" spans="2:53" ht="15">
      <c r="B64" s="75" t="s">
        <v>84</v>
      </c>
      <c r="C64" s="2"/>
      <c r="D64" s="2" t="s">
        <v>71</v>
      </c>
      <c r="E64" s="2"/>
      <c r="F64" s="2"/>
      <c r="G64" s="2"/>
      <c r="H64" s="2"/>
      <c r="I64" s="76"/>
      <c r="J64" s="2"/>
      <c r="K64" s="64">
        <f t="shared" si="18"/>
        <v>0</v>
      </c>
      <c r="L64" s="64">
        <f aca="true" t="shared" si="27" ref="L64:L65">AVERAGE(N64:BA64)</f>
        <v>0</v>
      </c>
      <c r="M64" s="64">
        <f aca="true" t="shared" si="28" ref="M64:BA64">M62+M48</f>
        <v>0</v>
      </c>
      <c r="N64" s="64">
        <f>N62+N48</f>
        <v>0</v>
      </c>
      <c r="O64" s="64">
        <f t="shared" si="28"/>
        <v>0</v>
      </c>
      <c r="P64" s="64">
        <f t="shared" si="28"/>
        <v>0</v>
      </c>
      <c r="Q64" s="64">
        <f t="shared" si="28"/>
        <v>0</v>
      </c>
      <c r="R64" s="64">
        <f t="shared" si="28"/>
        <v>0</v>
      </c>
      <c r="S64" s="64">
        <f t="shared" si="28"/>
        <v>0</v>
      </c>
      <c r="T64" s="64">
        <f t="shared" si="28"/>
        <v>0</v>
      </c>
      <c r="U64" s="64">
        <f t="shared" si="28"/>
        <v>0</v>
      </c>
      <c r="V64" s="64">
        <f t="shared" si="28"/>
        <v>0</v>
      </c>
      <c r="W64" s="64">
        <f t="shared" si="28"/>
        <v>0</v>
      </c>
      <c r="X64" s="64">
        <f t="shared" si="28"/>
        <v>0</v>
      </c>
      <c r="Y64" s="64">
        <f t="shared" si="28"/>
        <v>0</v>
      </c>
      <c r="Z64" s="64">
        <f t="shared" si="28"/>
        <v>0</v>
      </c>
      <c r="AA64" s="64">
        <f t="shared" si="28"/>
        <v>0</v>
      </c>
      <c r="AB64" s="64">
        <f t="shared" si="28"/>
        <v>0</v>
      </c>
      <c r="AC64" s="64">
        <f t="shared" si="28"/>
        <v>0</v>
      </c>
      <c r="AD64" s="64">
        <f t="shared" si="28"/>
        <v>0</v>
      </c>
      <c r="AE64" s="64">
        <f t="shared" si="28"/>
        <v>0</v>
      </c>
      <c r="AF64" s="64">
        <f t="shared" si="28"/>
        <v>0</v>
      </c>
      <c r="AG64" s="64">
        <f t="shared" si="28"/>
        <v>0</v>
      </c>
      <c r="AH64" s="64">
        <f t="shared" si="28"/>
        <v>0</v>
      </c>
      <c r="AI64" s="64">
        <f t="shared" si="28"/>
        <v>0</v>
      </c>
      <c r="AJ64" s="64">
        <f t="shared" si="28"/>
        <v>0</v>
      </c>
      <c r="AK64" s="64">
        <f t="shared" si="28"/>
        <v>0</v>
      </c>
      <c r="AL64" s="64">
        <f t="shared" si="28"/>
        <v>0</v>
      </c>
      <c r="AM64" s="64">
        <f t="shared" si="28"/>
        <v>0</v>
      </c>
      <c r="AN64" s="64">
        <f t="shared" si="28"/>
        <v>0</v>
      </c>
      <c r="AO64" s="64">
        <f t="shared" si="28"/>
        <v>0</v>
      </c>
      <c r="AP64" s="64">
        <f t="shared" si="28"/>
        <v>0</v>
      </c>
      <c r="AQ64" s="64">
        <f t="shared" si="28"/>
        <v>0</v>
      </c>
      <c r="AR64" s="64">
        <f t="shared" si="28"/>
        <v>0</v>
      </c>
      <c r="AS64" s="64">
        <f t="shared" si="28"/>
        <v>0</v>
      </c>
      <c r="AT64" s="64">
        <f t="shared" si="28"/>
        <v>0</v>
      </c>
      <c r="AU64" s="64">
        <f t="shared" si="28"/>
        <v>0</v>
      </c>
      <c r="AV64" s="64">
        <f t="shared" si="28"/>
        <v>0</v>
      </c>
      <c r="AW64" s="64">
        <f t="shared" si="28"/>
        <v>0</v>
      </c>
      <c r="AX64" s="64">
        <f t="shared" si="28"/>
        <v>0</v>
      </c>
      <c r="AY64" s="64">
        <f t="shared" si="28"/>
        <v>0</v>
      </c>
      <c r="AZ64" s="64">
        <f t="shared" si="28"/>
        <v>0</v>
      </c>
      <c r="BA64" s="64">
        <f t="shared" si="28"/>
        <v>0</v>
      </c>
    </row>
    <row r="65" spans="2:53" ht="15">
      <c r="B65" s="41" t="s">
        <v>85</v>
      </c>
      <c r="C65" s="42"/>
      <c r="D65" s="42"/>
      <c r="E65" s="42"/>
      <c r="F65" s="42"/>
      <c r="G65" s="42"/>
      <c r="H65" s="42"/>
      <c r="I65" s="46"/>
      <c r="J65" s="3"/>
      <c r="K65" s="163">
        <f t="shared" si="18"/>
        <v>0</v>
      </c>
      <c r="L65" s="163">
        <f t="shared" si="27"/>
        <v>0</v>
      </c>
      <c r="M65" s="48">
        <f t="shared" si="25"/>
        <v>0</v>
      </c>
      <c r="N65" s="47">
        <f>N62+N46</f>
        <v>0</v>
      </c>
      <c r="O65" s="47">
        <f aca="true" t="shared" si="29" ref="O65:BA65">O62+O46</f>
        <v>0</v>
      </c>
      <c r="P65" s="47">
        <f t="shared" si="29"/>
        <v>0</v>
      </c>
      <c r="Q65" s="47">
        <f t="shared" si="29"/>
        <v>0</v>
      </c>
      <c r="R65" s="47">
        <f t="shared" si="29"/>
        <v>0</v>
      </c>
      <c r="S65" s="47">
        <f t="shared" si="29"/>
        <v>0</v>
      </c>
      <c r="T65" s="47">
        <f t="shared" si="29"/>
        <v>0</v>
      </c>
      <c r="U65" s="47">
        <f t="shared" si="29"/>
        <v>0</v>
      </c>
      <c r="V65" s="47">
        <f t="shared" si="29"/>
        <v>0</v>
      </c>
      <c r="W65" s="47">
        <f t="shared" si="29"/>
        <v>0</v>
      </c>
      <c r="X65" s="47">
        <f t="shared" si="29"/>
        <v>0</v>
      </c>
      <c r="Y65" s="47">
        <f t="shared" si="29"/>
        <v>0</v>
      </c>
      <c r="Z65" s="47">
        <f t="shared" si="29"/>
        <v>0</v>
      </c>
      <c r="AA65" s="47">
        <f t="shared" si="29"/>
        <v>0</v>
      </c>
      <c r="AB65" s="47">
        <f t="shared" si="29"/>
        <v>0</v>
      </c>
      <c r="AC65" s="47">
        <f t="shared" si="29"/>
        <v>0</v>
      </c>
      <c r="AD65" s="47">
        <f t="shared" si="29"/>
        <v>0</v>
      </c>
      <c r="AE65" s="47">
        <f t="shared" si="29"/>
        <v>0</v>
      </c>
      <c r="AF65" s="47">
        <f t="shared" si="29"/>
        <v>0</v>
      </c>
      <c r="AG65" s="47">
        <f t="shared" si="29"/>
        <v>0</v>
      </c>
      <c r="AH65" s="47">
        <f t="shared" si="29"/>
        <v>0</v>
      </c>
      <c r="AI65" s="47">
        <f t="shared" si="29"/>
        <v>0</v>
      </c>
      <c r="AJ65" s="47">
        <f t="shared" si="29"/>
        <v>0</v>
      </c>
      <c r="AK65" s="47">
        <f t="shared" si="29"/>
        <v>0</v>
      </c>
      <c r="AL65" s="47">
        <f t="shared" si="29"/>
        <v>0</v>
      </c>
      <c r="AM65" s="47">
        <f t="shared" si="29"/>
        <v>0</v>
      </c>
      <c r="AN65" s="47">
        <f t="shared" si="29"/>
        <v>0</v>
      </c>
      <c r="AO65" s="47">
        <f t="shared" si="29"/>
        <v>0</v>
      </c>
      <c r="AP65" s="47">
        <f t="shared" si="29"/>
        <v>0</v>
      </c>
      <c r="AQ65" s="47">
        <f t="shared" si="29"/>
        <v>0</v>
      </c>
      <c r="AR65" s="47">
        <f t="shared" si="29"/>
        <v>0</v>
      </c>
      <c r="AS65" s="47">
        <f t="shared" si="29"/>
        <v>0</v>
      </c>
      <c r="AT65" s="47">
        <f t="shared" si="29"/>
        <v>0</v>
      </c>
      <c r="AU65" s="47">
        <f t="shared" si="29"/>
        <v>0</v>
      </c>
      <c r="AV65" s="47">
        <f t="shared" si="29"/>
        <v>0</v>
      </c>
      <c r="AW65" s="47">
        <f t="shared" si="29"/>
        <v>0</v>
      </c>
      <c r="AX65" s="47">
        <f t="shared" si="29"/>
        <v>0</v>
      </c>
      <c r="AY65" s="47">
        <f t="shared" si="29"/>
        <v>0</v>
      </c>
      <c r="AZ65" s="47">
        <f t="shared" si="29"/>
        <v>0</v>
      </c>
      <c r="BA65" s="48">
        <f t="shared" si="29"/>
        <v>0</v>
      </c>
    </row>
    <row r="66" spans="12:53" ht="15">
      <c r="L66" s="164"/>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row>
    <row r="67" spans="2:14" ht="15">
      <c r="B67" s="41" t="s">
        <v>86</v>
      </c>
      <c r="C67" s="42" t="s">
        <v>87</v>
      </c>
      <c r="D67" s="42" t="s">
        <v>80</v>
      </c>
      <c r="E67" s="42"/>
      <c r="F67" s="42"/>
      <c r="G67" s="42"/>
      <c r="H67" s="42"/>
      <c r="I67" s="46"/>
      <c r="J67" s="3"/>
      <c r="K67" s="3"/>
      <c r="L67" s="161"/>
      <c r="M67" s="156">
        <f>NPV($C$79,N46:BA46)</f>
        <v>0</v>
      </c>
      <c r="N67" s="78"/>
    </row>
    <row r="68" spans="2:13" ht="15">
      <c r="B68" s="16"/>
      <c r="C68" s="17" t="s">
        <v>158</v>
      </c>
      <c r="D68" s="17" t="s">
        <v>67</v>
      </c>
      <c r="E68" s="17"/>
      <c r="F68" s="17"/>
      <c r="G68" s="17"/>
      <c r="H68" s="17"/>
      <c r="I68" s="79"/>
      <c r="L68" s="28"/>
      <c r="M68" s="157">
        <f>NPV($C$79,N47:BA47)</f>
        <v>0</v>
      </c>
    </row>
    <row r="69" spans="2:13" ht="15">
      <c r="B69" s="24"/>
      <c r="C69" s="25" t="s">
        <v>159</v>
      </c>
      <c r="D69" s="25" t="s">
        <v>71</v>
      </c>
      <c r="E69" s="25"/>
      <c r="F69" s="25"/>
      <c r="G69" s="25"/>
      <c r="H69" s="25"/>
      <c r="I69" s="30"/>
      <c r="L69" s="28"/>
      <c r="M69" s="158">
        <f>NPV($C$79,N48:BA48)</f>
        <v>0</v>
      </c>
    </row>
    <row r="70" spans="2:13" ht="15">
      <c r="B70" s="24"/>
      <c r="C70" s="25" t="s">
        <v>139</v>
      </c>
      <c r="D70" s="25" t="s">
        <v>71</v>
      </c>
      <c r="E70" s="25"/>
      <c r="F70" s="25"/>
      <c r="G70" s="25"/>
      <c r="H70" s="25"/>
      <c r="I70" s="30"/>
      <c r="L70" s="28"/>
      <c r="M70" s="158">
        <f>NPV($C$79,N62:BA62)</f>
        <v>0</v>
      </c>
    </row>
    <row r="71" spans="2:13" ht="15">
      <c r="B71" s="66"/>
      <c r="C71" s="67" t="s">
        <v>160</v>
      </c>
      <c r="D71" s="67" t="s">
        <v>71</v>
      </c>
      <c r="E71" s="67"/>
      <c r="F71" s="67"/>
      <c r="G71" s="67"/>
      <c r="H71" s="67"/>
      <c r="I71" s="80"/>
      <c r="L71" s="28"/>
      <c r="M71" s="159">
        <f>NPV($C$79,N64:BA64)</f>
        <v>0</v>
      </c>
    </row>
    <row r="72" spans="2:13" ht="15">
      <c r="B72" s="41"/>
      <c r="C72" s="42" t="s">
        <v>161</v>
      </c>
      <c r="D72" s="42" t="s">
        <v>88</v>
      </c>
      <c r="E72" s="42"/>
      <c r="F72" s="42"/>
      <c r="G72" s="42"/>
      <c r="H72" s="42"/>
      <c r="I72" s="46"/>
      <c r="J72" s="3"/>
      <c r="K72" s="3"/>
      <c r="L72" s="161"/>
      <c r="M72" s="156">
        <f>NPV($C$79,N65:BA65)</f>
        <v>0</v>
      </c>
    </row>
    <row r="73" spans="2:13" ht="15">
      <c r="B73" s="325"/>
      <c r="C73" s="326"/>
      <c r="D73" s="326"/>
      <c r="E73" s="326"/>
      <c r="F73" s="326"/>
      <c r="G73" s="326"/>
      <c r="H73" s="326"/>
      <c r="I73" s="327"/>
      <c r="L73" s="328"/>
      <c r="M73" s="142"/>
    </row>
    <row r="74" spans="12:53" ht="15">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row>
    <row r="75" spans="12:53" ht="15">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row>
    <row r="76" spans="12:53" ht="15">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row>
    <row r="77" spans="2:12" ht="15">
      <c r="B77" s="10"/>
      <c r="C77" s="10"/>
      <c r="D77" s="10"/>
      <c r="E77" s="10"/>
      <c r="F77" s="10"/>
      <c r="G77" s="10"/>
      <c r="H77" s="10"/>
      <c r="I77" s="10"/>
      <c r="J77" s="10"/>
      <c r="K77" s="10"/>
      <c r="L77" s="142"/>
    </row>
    <row r="78" spans="2:12" ht="15">
      <c r="B78" s="10" t="s">
        <v>255</v>
      </c>
      <c r="C78" s="10"/>
      <c r="D78" s="10"/>
      <c r="E78" s="10"/>
      <c r="F78" s="10"/>
      <c r="G78" s="10"/>
      <c r="H78" s="10"/>
      <c r="I78" s="10"/>
      <c r="J78" s="10"/>
      <c r="K78" s="10"/>
      <c r="L78" s="142"/>
    </row>
    <row r="79" spans="2:12" ht="15">
      <c r="B79" s="1" t="s">
        <v>100</v>
      </c>
      <c r="C79" s="230">
        <f>'Green+Social Interface'!$I$34+'Green+Social Interface'!$I$35</f>
        <v>0.07500000000000001</v>
      </c>
      <c r="D79" s="10"/>
      <c r="E79" s="10"/>
      <c r="F79" s="10"/>
      <c r="G79" s="10"/>
      <c r="H79" s="10"/>
      <c r="I79" s="10"/>
      <c r="J79" s="10"/>
      <c r="K79" s="10"/>
      <c r="L79" s="142"/>
    </row>
    <row r="80" spans="2:12" ht="15">
      <c r="B80" s="1"/>
      <c r="C80" s="149"/>
      <c r="D80" s="10"/>
      <c r="E80" s="10"/>
      <c r="F80" s="10"/>
      <c r="G80" s="10"/>
      <c r="H80" s="10"/>
      <c r="I80" s="10"/>
      <c r="J80" s="10"/>
      <c r="K80" s="10"/>
      <c r="L80" s="142"/>
    </row>
    <row r="81" spans="2:12" ht="15">
      <c r="B81" s="10"/>
      <c r="C81" s="10"/>
      <c r="D81" s="10"/>
      <c r="E81" s="10"/>
      <c r="F81" s="10"/>
      <c r="G81" s="10"/>
      <c r="H81" s="10"/>
      <c r="I81" s="10"/>
      <c r="J81" s="10"/>
      <c r="K81" s="10"/>
      <c r="L81" s="142"/>
    </row>
    <row r="82" spans="2:12" ht="15">
      <c r="B82" s="10"/>
      <c r="C82" s="10"/>
      <c r="D82" s="10"/>
      <c r="E82" s="10"/>
      <c r="F82" s="10"/>
      <c r="G82" s="10"/>
      <c r="H82" s="10"/>
      <c r="I82" s="10"/>
      <c r="J82" s="10"/>
      <c r="K82" s="10"/>
      <c r="L82" s="142"/>
    </row>
    <row r="83" spans="2:12" ht="15">
      <c r="B83" s="10"/>
      <c r="C83" s="10"/>
      <c r="D83" s="10"/>
      <c r="E83" s="10"/>
      <c r="F83" s="10"/>
      <c r="G83" s="10"/>
      <c r="H83" s="10"/>
      <c r="I83" s="10"/>
      <c r="J83" s="10"/>
      <c r="K83" s="10"/>
      <c r="L83" s="142"/>
    </row>
    <row r="84" ht="15" thickBot="1">
      <c r="C84" t="s">
        <v>674</v>
      </c>
    </row>
    <row r="85" spans="2:24" ht="28.2" thickBot="1">
      <c r="B85" s="81">
        <f>SUM(E87,D88:E88,D90:E90,D92:E92,D94:E94,D96,E98,D103:E103,D112:E112,D117:E117,D122:E122,D127)</f>
        <v>0</v>
      </c>
      <c r="C85" s="429" t="b">
        <f>B85=SUM('Green+Social Interface'!D18:D22,'Green+Social Interface'!I18:I22,'Green+Social Interface'!O18:O22,'Green+Social Interface'!T18:T22)</f>
        <v>1</v>
      </c>
      <c r="G85" s="117"/>
      <c r="O85" s="127" t="s">
        <v>137</v>
      </c>
      <c r="P85" s="83"/>
      <c r="Q85" s="84" t="s">
        <v>89</v>
      </c>
      <c r="S85" s="131"/>
      <c r="T85" s="132"/>
      <c r="U85" s="132"/>
      <c r="V85" s="132"/>
      <c r="W85" s="132"/>
      <c r="X85" s="132"/>
    </row>
    <row r="86" spans="2:24" ht="42" thickBot="1">
      <c r="B86" s="82"/>
      <c r="C86" s="82" t="s">
        <v>90</v>
      </c>
      <c r="D86" s="124" t="s">
        <v>108</v>
      </c>
      <c r="E86" s="124" t="s">
        <v>109</v>
      </c>
      <c r="F86" s="124" t="s">
        <v>108</v>
      </c>
      <c r="G86" s="124" t="s">
        <v>109</v>
      </c>
      <c r="H86" s="124" t="s">
        <v>132</v>
      </c>
      <c r="I86" s="146"/>
      <c r="J86" s="146"/>
      <c r="M86" s="85"/>
      <c r="O86" s="86" t="s">
        <v>91</v>
      </c>
      <c r="P86" s="87"/>
      <c r="Q86" s="135" t="s">
        <v>92</v>
      </c>
      <c r="R86" s="146" t="s">
        <v>523</v>
      </c>
      <c r="S86" s="311" t="s">
        <v>229</v>
      </c>
      <c r="T86" s="182" t="s">
        <v>230</v>
      </c>
      <c r="U86" s="182" t="s">
        <v>233</v>
      </c>
      <c r="V86" s="128" t="s">
        <v>524</v>
      </c>
      <c r="W86" s="275" t="s">
        <v>521</v>
      </c>
      <c r="X86" s="275" t="s">
        <v>522</v>
      </c>
    </row>
    <row r="87" spans="2:24" ht="15">
      <c r="B87" s="82" t="s">
        <v>111</v>
      </c>
      <c r="C87" s="82" t="s">
        <v>112</v>
      </c>
      <c r="D87" s="109"/>
      <c r="E87" s="111">
        <f>'Green+Social Interface'!$I$18</f>
        <v>0</v>
      </c>
      <c r="F87" s="110">
        <f>$D$87</f>
        <v>0</v>
      </c>
      <c r="G87" s="110">
        <f>$E$87</f>
        <v>0</v>
      </c>
      <c r="H87" s="119">
        <f>F87+G87</f>
        <v>0</v>
      </c>
      <c r="I87" s="1"/>
      <c r="J87" s="1"/>
      <c r="N87" t="s">
        <v>226</v>
      </c>
      <c r="O87" s="88" t="s">
        <v>10</v>
      </c>
      <c r="P87" s="134"/>
      <c r="Q87" s="136">
        <f>'Green+Social Interface'!J46</f>
        <v>0</v>
      </c>
      <c r="R87" s="118">
        <f>'Green+Social Interface'!$I$18</f>
        <v>0</v>
      </c>
      <c r="S87" s="312">
        <f>IF(AND('Green+Social Interface'!W18&gt;0,'Green+Social Interface'!T18),('Green+Social Interface'!W18&gt;0)/'Green+Social Interface'!T18*VLOOKUP('Green+Social Interface'!$D$39,'Look-ups_2'!$B$4:$AB$113,18,FALSE)+(1-('Green+Social Interface'!W18)/'Green+Social Interface'!T18)*VLOOKUP('Green+Social Interface'!$D$39,'Look-ups_2'!$B$4:$AB$113,23,FALSE),VLOOKUP('Green+Social Interface'!$D$39,'Look-ups_2'!$B$4:$AB$113,23,FALSE))</f>
        <v>151.58</v>
      </c>
      <c r="T87" s="310">
        <f>Q87-S87</f>
        <v>-151.58</v>
      </c>
      <c r="U87" s="184" t="e">
        <f>T87/Q87</f>
        <v>#DIV/0!</v>
      </c>
      <c r="V87" s="183">
        <f>'Green+Social Interface'!$T$18</f>
        <v>0</v>
      </c>
      <c r="W87" s="130">
        <f>((100%-$Q$103)*(Q87*R87))*52.1429</f>
        <v>0</v>
      </c>
      <c r="X87" s="130">
        <f>(T87*V87)*52.1429</f>
        <v>0</v>
      </c>
    </row>
    <row r="88" spans="2:24" ht="15">
      <c r="B88" s="82" t="s">
        <v>111</v>
      </c>
      <c r="C88" s="82" t="s">
        <v>113</v>
      </c>
      <c r="D88" s="111">
        <f>'Green+Social Interface'!$D$18</f>
        <v>0</v>
      </c>
      <c r="E88" s="111">
        <f>'Green+Social Interface'!$I$19</f>
        <v>0</v>
      </c>
      <c r="F88" s="110">
        <f>$D$88</f>
        <v>0</v>
      </c>
      <c r="G88" s="110">
        <f>$E$88</f>
        <v>0</v>
      </c>
      <c r="H88" s="119">
        <f aca="true" t="shared" si="30" ref="H88:H131">F88+G88</f>
        <v>0</v>
      </c>
      <c r="I88" s="1"/>
      <c r="J88" s="1"/>
      <c r="N88" t="s">
        <v>226</v>
      </c>
      <c r="O88" s="88" t="s">
        <v>6</v>
      </c>
      <c r="P88" s="134"/>
      <c r="Q88" s="136">
        <f>'Green+Social Interface'!J47</f>
        <v>0</v>
      </c>
      <c r="R88" s="118">
        <f>'Green+Social Interface'!$I$19</f>
        <v>0</v>
      </c>
      <c r="S88" s="179">
        <f>IF(AND('Green+Social Interface'!W19&gt;0,'Green+Social Interface'!T19),('Green+Social Interface'!W19&gt;0)/'Green+Social Interface'!T19*VLOOKUP('Green+Social Interface'!$D$39,'Look-ups_2'!$B$4:$AB$113,18,FALSE)+(1-('Green+Social Interface'!W19)/'Green+Social Interface'!T19)*VLOOKUP('Green+Social Interface'!$D$39,'Look-ups_2'!$B$4:$AB$113,23,FALSE),VLOOKUP('Green+Social Interface'!$D$39,'Look-ups_2'!$B$4:$AB$113,23,FALSE))</f>
        <v>151.58</v>
      </c>
      <c r="T88" s="180">
        <f aca="true" t="shared" si="31" ref="T88:T91">Q88-S88</f>
        <v>-151.58</v>
      </c>
      <c r="U88" s="184" t="e">
        <f aca="true" t="shared" si="32" ref="U88:U97">T88/Q88</f>
        <v>#DIV/0!</v>
      </c>
      <c r="V88" s="183">
        <f>'Green+Social Interface'!$T$19</f>
        <v>0</v>
      </c>
      <c r="W88" s="130">
        <f>((100%-$Q$103)*(Q88*R88))*52.1429</f>
        <v>0</v>
      </c>
      <c r="X88" s="130">
        <f>(T88*V88)*52.1429</f>
        <v>0</v>
      </c>
    </row>
    <row r="89" spans="2:24" ht="15">
      <c r="B89" s="82"/>
      <c r="C89" s="82" t="s">
        <v>118</v>
      </c>
      <c r="D89" s="169">
        <f>IF('Green+Social Interface'!$D$18&gt;0,'Green+Social Interface'!F18/'Green+Social Interface'!$D$18,0)</f>
        <v>0</v>
      </c>
      <c r="E89" s="169">
        <f>IF('Green+Social Interface'!I19&gt;0,'Green+Social Interface'!L19/'Green+Social Interface'!$I$19,0)</f>
        <v>0</v>
      </c>
      <c r="F89" s="110">
        <f>D89*F88</f>
        <v>0</v>
      </c>
      <c r="G89" s="110">
        <f>E89*G88</f>
        <v>0</v>
      </c>
      <c r="H89" s="119">
        <f>F89+G89</f>
        <v>0</v>
      </c>
      <c r="I89" s="1"/>
      <c r="J89" s="1"/>
      <c r="N89" t="s">
        <v>226</v>
      </c>
      <c r="O89" s="88" t="s">
        <v>7</v>
      </c>
      <c r="P89" s="134"/>
      <c r="Q89" s="136">
        <f>'Green+Social Interface'!J48</f>
        <v>0</v>
      </c>
      <c r="R89" s="118">
        <f>'Green+Social Interface'!$I$20</f>
        <v>0</v>
      </c>
      <c r="S89" s="179">
        <f>IF(AND('Green+Social Interface'!W20&gt;0,'Green+Social Interface'!T20),('Green+Social Interface'!W20&gt;0)/'Green+Social Interface'!T20*VLOOKUP('Green+Social Interface'!$D$39,'Look-ups_2'!$B$4:$AB$113,18,FALSE)+(1-('Green+Social Interface'!W20)/'Green+Social Interface'!T20)*VLOOKUP('Green+Social Interface'!$D$39,'Look-ups_2'!$B$4:$AB$113,23,FALSE),VLOOKUP('Green+Social Interface'!$D$39,'Look-ups_2'!$B$4:$AB$113,23,FALSE))</f>
        <v>151.58</v>
      </c>
      <c r="T89" s="180">
        <f t="shared" si="31"/>
        <v>-151.58</v>
      </c>
      <c r="U89" s="184" t="e">
        <f t="shared" si="32"/>
        <v>#DIV/0!</v>
      </c>
      <c r="V89" s="183">
        <f>'Green+Social Interface'!$T$20</f>
        <v>0</v>
      </c>
      <c r="W89" s="130">
        <f>((100%-$Q$103)*(Q89*R89))*52.1429</f>
        <v>0</v>
      </c>
      <c r="X89" s="130">
        <f>(T89*V89)*52.1429</f>
        <v>0</v>
      </c>
    </row>
    <row r="90" spans="2:24" ht="15">
      <c r="B90" s="82" t="s">
        <v>111</v>
      </c>
      <c r="C90" s="82" t="s">
        <v>114</v>
      </c>
      <c r="D90" s="111">
        <f>'Green+Social Interface'!$D$19</f>
        <v>0</v>
      </c>
      <c r="E90" s="111">
        <f>'Green+Social Interface'!$I$20</f>
        <v>0</v>
      </c>
      <c r="F90" s="110">
        <f>$D$90</f>
        <v>0</v>
      </c>
      <c r="G90" s="110">
        <f>$E$90</f>
        <v>0</v>
      </c>
      <c r="H90" s="119">
        <f t="shared" si="30"/>
        <v>0</v>
      </c>
      <c r="I90" s="1"/>
      <c r="J90" s="1"/>
      <c r="N90" t="s">
        <v>226</v>
      </c>
      <c r="O90" s="88" t="s">
        <v>8</v>
      </c>
      <c r="P90" s="134"/>
      <c r="Q90" s="136">
        <f>'Green+Social Interface'!J49</f>
        <v>0</v>
      </c>
      <c r="R90" s="118">
        <f>'Green+Social Interface'!$I$21</f>
        <v>0</v>
      </c>
      <c r="S90" s="179">
        <f>IF(AND('Green+Social Interface'!W21&gt;0,'Green+Social Interface'!T21),('Green+Social Interface'!W21&gt;0)/'Green+Social Interface'!T21*VLOOKUP('Green+Social Interface'!$D$39,'Look-ups_2'!$B$4:$AB$113,18,FALSE)+(1-('Green+Social Interface'!W21)/'Green+Social Interface'!T21)*VLOOKUP('Green+Social Interface'!$D$39,'Look-ups_2'!$B$4:$AB$113,23,FALSE),VLOOKUP('Green+Social Interface'!$D$39,'Look-ups_2'!$B$4:$AB$113,23,FALSE))</f>
        <v>151.58</v>
      </c>
      <c r="T90" s="180">
        <f t="shared" si="31"/>
        <v>-151.58</v>
      </c>
      <c r="U90" s="184" t="e">
        <f t="shared" si="32"/>
        <v>#DIV/0!</v>
      </c>
      <c r="V90" s="183">
        <f>'Green+Social Interface'!$T$21</f>
        <v>0</v>
      </c>
      <c r="W90" s="130">
        <f>((100%-$Q$103)*(Q90*R90))*52.1429</f>
        <v>0</v>
      </c>
      <c r="X90" s="130">
        <f>(T90*V90)*52.1429</f>
        <v>0</v>
      </c>
    </row>
    <row r="91" spans="2:24" ht="15">
      <c r="B91" s="82"/>
      <c r="C91" s="82" t="s">
        <v>118</v>
      </c>
      <c r="D91" s="169">
        <f>IF('Green+Social Interface'!$D$19&gt;0,'Green+Social Interface'!F19/'Green+Social Interface'!$D$19,0)</f>
        <v>0</v>
      </c>
      <c r="E91" s="169">
        <f>IF('Green+Social Interface'!I20&gt;0,'Green+Social Interface'!L20/'Green+Social Interface'!$I$20,0)</f>
        <v>0</v>
      </c>
      <c r="F91" s="110">
        <f>D91*F90</f>
        <v>0</v>
      </c>
      <c r="G91" s="110">
        <f>E91*G90</f>
        <v>0</v>
      </c>
      <c r="H91" s="119">
        <f>F91+G91</f>
        <v>0</v>
      </c>
      <c r="I91" s="1"/>
      <c r="J91" s="1"/>
      <c r="N91" t="s">
        <v>226</v>
      </c>
      <c r="O91" s="88" t="s">
        <v>9</v>
      </c>
      <c r="P91" s="134"/>
      <c r="Q91" s="136">
        <f>'Green+Social Interface'!J50</f>
        <v>0</v>
      </c>
      <c r="R91" s="118">
        <f>'Green+Social Interface'!$I$22</f>
        <v>0</v>
      </c>
      <c r="S91" s="179">
        <f>IF(AND('Green+Social Interface'!W22&gt;0,'Green+Social Interface'!T22),('Green+Social Interface'!W22&gt;0)/'Green+Social Interface'!T22*VLOOKUP('Green+Social Interface'!$D$39,'Look-ups_2'!$B$4:$AB$113,18,FALSE)+(1-('Green+Social Interface'!W22)/'Green+Social Interface'!T22)*VLOOKUP('Green+Social Interface'!$D$39,'Look-ups_2'!$B$4:$AB$113,23,FALSE),VLOOKUP('Green+Social Interface'!$D$39,'Look-ups_2'!$B$4:$AB$113,23,FALSE))</f>
        <v>151.58</v>
      </c>
      <c r="T91" s="180">
        <f t="shared" si="31"/>
        <v>-151.58</v>
      </c>
      <c r="U91" s="184" t="e">
        <f t="shared" si="32"/>
        <v>#DIV/0!</v>
      </c>
      <c r="V91" s="183">
        <f>'Green+Social Interface'!$T$22</f>
        <v>0</v>
      </c>
      <c r="W91" s="130">
        <f>((100%-$Q$103)*(Q91*R91))*52.1429</f>
        <v>0</v>
      </c>
      <c r="X91" s="130">
        <f>(T91*V91)*52.1429</f>
        <v>0</v>
      </c>
    </row>
    <row r="92" spans="2:24" ht="15">
      <c r="B92" s="82" t="s">
        <v>111</v>
      </c>
      <c r="C92" s="82" t="s">
        <v>115</v>
      </c>
      <c r="D92" s="111">
        <f>'Green+Social Interface'!$D$20</f>
        <v>0</v>
      </c>
      <c r="E92" s="111">
        <f>'Green+Social Interface'!$I$21</f>
        <v>0</v>
      </c>
      <c r="F92" s="110">
        <f>$D$92</f>
        <v>0</v>
      </c>
      <c r="G92" s="110">
        <f>$E$92</f>
        <v>0</v>
      </c>
      <c r="H92" s="119">
        <f t="shared" si="30"/>
        <v>0</v>
      </c>
      <c r="I92" s="1"/>
      <c r="J92" s="1"/>
      <c r="O92" s="88"/>
      <c r="P92" s="134"/>
      <c r="Q92" s="136"/>
      <c r="R92" s="306"/>
      <c r="S92" s="179"/>
      <c r="T92" s="180"/>
      <c r="U92" s="184"/>
      <c r="V92" s="129"/>
      <c r="W92" s="130"/>
      <c r="X92" s="130"/>
    </row>
    <row r="93" spans="2:24" ht="15">
      <c r="B93" s="82"/>
      <c r="C93" s="82" t="s">
        <v>118</v>
      </c>
      <c r="D93" s="169">
        <f>IF('Green+Social Interface'!$D$20&gt;0,'Green+Social Interface'!F20/'Green+Social Interface'!$D$20,0)</f>
        <v>0</v>
      </c>
      <c r="E93" s="169">
        <f>IF('Green+Social Interface'!I21&gt;0,'Green+Social Interface'!L21/'Green+Social Interface'!$I$21,0)</f>
        <v>0</v>
      </c>
      <c r="F93" s="110">
        <f>D93*F92</f>
        <v>0</v>
      </c>
      <c r="G93" s="110">
        <f>E93*G92</f>
        <v>0</v>
      </c>
      <c r="H93" s="119">
        <f>F93+G93</f>
        <v>0</v>
      </c>
      <c r="I93" s="1"/>
      <c r="J93" s="1"/>
      <c r="N93" t="s">
        <v>227</v>
      </c>
      <c r="O93" s="88" t="s">
        <v>6</v>
      </c>
      <c r="P93" s="134"/>
      <c r="Q93" s="136">
        <f>'Green+Social Interface'!E46</f>
        <v>0</v>
      </c>
      <c r="R93" s="307">
        <f>'Green+Social Interface'!$D$18</f>
        <v>0</v>
      </c>
      <c r="S93" s="308">
        <f>IF(AND('Green+Social Interface'!Q18&gt;0,'Green+Social Interface'!O18&gt;0),('Green+Social Interface'!Q18/'Green+Social Interface'!O18)*VLOOKUP('Green+Social Interface'!$D$39,'Look-ups_2'!$B$4:$AB$113,18,FALSE)+(1-('Green+Social Interface'!Q18)/'Green+Social Interface'!O18)*VLOOKUP('Green+Social Interface'!$D$39,'Look-ups_2'!$B$4:$AB$113,23,FALSE),VLOOKUP('Green+Social Interface'!$D$39,'Look-ups_2'!$B$4:$AB$113,23,FALSE))</f>
        <v>151.58</v>
      </c>
      <c r="T93" s="180">
        <f>Q93-S93</f>
        <v>-151.58</v>
      </c>
      <c r="U93" s="184" t="e">
        <f t="shared" si="32"/>
        <v>#DIV/0!</v>
      </c>
      <c r="V93" s="183">
        <f>'Green+Social Interface'!$O$18</f>
        <v>0</v>
      </c>
      <c r="W93" s="130">
        <f>((100%-$Q$103)*(Q93*R93))*52.1429</f>
        <v>0</v>
      </c>
      <c r="X93" s="130">
        <f>(T93*V93)*52.1429</f>
        <v>0</v>
      </c>
    </row>
    <row r="94" spans="2:24" ht="15">
      <c r="B94" s="82" t="s">
        <v>111</v>
      </c>
      <c r="C94" s="82" t="s">
        <v>116</v>
      </c>
      <c r="D94" s="111">
        <f>'Green+Social Interface'!$D$21</f>
        <v>0</v>
      </c>
      <c r="E94" s="111">
        <f>'Green+Social Interface'!$I$22</f>
        <v>0</v>
      </c>
      <c r="F94" s="110">
        <f>$D$94</f>
        <v>0</v>
      </c>
      <c r="G94" s="110">
        <f>$E$94</f>
        <v>0</v>
      </c>
      <c r="H94" s="119">
        <f t="shared" si="30"/>
        <v>0</v>
      </c>
      <c r="I94" s="1"/>
      <c r="J94" s="1"/>
      <c r="K94" s="10"/>
      <c r="M94" s="10"/>
      <c r="N94" t="s">
        <v>227</v>
      </c>
      <c r="O94" s="88" t="s">
        <v>7</v>
      </c>
      <c r="P94" s="134"/>
      <c r="Q94" s="136">
        <f>'Green+Social Interface'!E47</f>
        <v>0</v>
      </c>
      <c r="R94" s="307">
        <f>'Green+Social Interface'!$D$19</f>
        <v>0</v>
      </c>
      <c r="S94" s="308">
        <f>IF(AND('Green+Social Interface'!Q19&gt;0,'Green+Social Interface'!O19&gt;0),('Green+Social Interface'!Q19/'Green+Social Interface'!O19)*VLOOKUP('Green+Social Interface'!$D$39,'Look-ups_2'!$B$4:$AB$113,18,FALSE)+(1-('Green+Social Interface'!Q19)/'Green+Social Interface'!O19)*VLOOKUP('Green+Social Interface'!$D$39,'Look-ups_2'!$B$4:$AB$113,23,FALSE),VLOOKUP('Green+Social Interface'!$D$39,'Look-ups_2'!$B$4:$AB$113,23,FALSE))</f>
        <v>151.58</v>
      </c>
      <c r="T94" s="180">
        <f aca="true" t="shared" si="33" ref="T94:T97">Q94-S94</f>
        <v>-151.58</v>
      </c>
      <c r="U94" s="184" t="e">
        <f t="shared" si="32"/>
        <v>#DIV/0!</v>
      </c>
      <c r="V94" s="183">
        <f>'Green+Social Interface'!$O$19</f>
        <v>0</v>
      </c>
      <c r="W94" s="130">
        <f>((100%-$Q$103)*(Q94*R94))*52.1429</f>
        <v>0</v>
      </c>
      <c r="X94" s="130">
        <f>(T94*V94)*52.1429</f>
        <v>0</v>
      </c>
    </row>
    <row r="95" spans="2:24" ht="15">
      <c r="B95" s="82"/>
      <c r="C95" s="82" t="s">
        <v>118</v>
      </c>
      <c r="D95" s="169">
        <f>IF('Green+Social Interface'!$D$21&gt;0,'Green+Social Interface'!F21/'Green+Social Interface'!$D$21,0)</f>
        <v>0</v>
      </c>
      <c r="E95" s="169">
        <f>IF('Green+Social Interface'!I22&gt;0,'Green+Social Interface'!L22/'Green+Social Interface'!$I$22,0)</f>
        <v>0</v>
      </c>
      <c r="F95" s="110">
        <f>D95*F94</f>
        <v>0</v>
      </c>
      <c r="G95" s="110">
        <f>E95*G94</f>
        <v>0</v>
      </c>
      <c r="H95" s="119">
        <f>F95+G95</f>
        <v>0</v>
      </c>
      <c r="I95" s="1"/>
      <c r="J95" s="1"/>
      <c r="K95" s="10"/>
      <c r="M95" s="10"/>
      <c r="N95" t="s">
        <v>227</v>
      </c>
      <c r="O95" s="88" t="s">
        <v>8</v>
      </c>
      <c r="P95" s="134"/>
      <c r="Q95" s="136">
        <f>'Green+Social Interface'!E48</f>
        <v>0</v>
      </c>
      <c r="R95" s="307">
        <f>'Green+Social Interface'!$D$20</f>
        <v>0</v>
      </c>
      <c r="S95" s="308">
        <f>IF(AND('Green+Social Interface'!Q20&gt;0,'Green+Social Interface'!O20&gt;0),('Green+Social Interface'!Q20/'Green+Social Interface'!O20)*VLOOKUP('Green+Social Interface'!$D$39,'Look-ups_2'!$B$4:$AB$113,18,FALSE)+(1-('Green+Social Interface'!Q20)/'Green+Social Interface'!O20)*VLOOKUP('Green+Social Interface'!$D$39,'Look-ups_2'!$B$4:$AB$113,23,FALSE),VLOOKUP('Green+Social Interface'!$D$39,'Look-ups_2'!$B$4:$AB$113,23,FALSE))</f>
        <v>151.58</v>
      </c>
      <c r="T95" s="180">
        <f t="shared" si="33"/>
        <v>-151.58</v>
      </c>
      <c r="U95" s="184" t="e">
        <f t="shared" si="32"/>
        <v>#DIV/0!</v>
      </c>
      <c r="V95" s="183">
        <f>'Green+Social Interface'!$O$20</f>
        <v>0</v>
      </c>
      <c r="W95" s="130">
        <f>((100%-$Q$103)*(Q95*R95))*52.1429</f>
        <v>0</v>
      </c>
      <c r="X95" s="130">
        <f>(T95*V95)*52.1429</f>
        <v>0</v>
      </c>
    </row>
    <row r="96" spans="2:24" ht="15">
      <c r="B96" s="82" t="s">
        <v>111</v>
      </c>
      <c r="C96" s="82" t="s">
        <v>117</v>
      </c>
      <c r="D96" s="111">
        <f>'Green+Social Interface'!$D$22</f>
        <v>0</v>
      </c>
      <c r="E96" s="109"/>
      <c r="F96" s="110">
        <f>$D$96</f>
        <v>0</v>
      </c>
      <c r="G96" s="108"/>
      <c r="H96" s="119">
        <f t="shared" si="30"/>
        <v>0</v>
      </c>
      <c r="I96" s="1"/>
      <c r="J96" s="1"/>
      <c r="K96" s="89"/>
      <c r="N96" t="s">
        <v>227</v>
      </c>
      <c r="O96" s="88" t="s">
        <v>9</v>
      </c>
      <c r="P96" s="134"/>
      <c r="Q96" s="136">
        <f>'Green+Social Interface'!E49</f>
        <v>0</v>
      </c>
      <c r="R96" s="307">
        <f>'Green+Social Interface'!$D$21</f>
        <v>0</v>
      </c>
      <c r="S96" s="308">
        <f>IF(AND('Green+Social Interface'!Q21&gt;0,'Green+Social Interface'!O21&gt;0),('Green+Social Interface'!Q21/'Green+Social Interface'!O21)*VLOOKUP('Green+Social Interface'!$D$39,'Look-ups_2'!$B$4:$AB$113,18,FALSE)+(1-('Green+Social Interface'!Q21)/'Green+Social Interface'!O21)*VLOOKUP('Green+Social Interface'!$D$39,'Look-ups_2'!$B$4:$AB$113,23,FALSE),VLOOKUP('Green+Social Interface'!$D$39,'Look-ups_2'!$B$4:$AB$113,23,FALSE))</f>
        <v>151.58</v>
      </c>
      <c r="T96" s="180">
        <f t="shared" si="33"/>
        <v>-151.58</v>
      </c>
      <c r="U96" s="184" t="e">
        <f t="shared" si="32"/>
        <v>#DIV/0!</v>
      </c>
      <c r="V96" s="183">
        <f>'Green+Social Interface'!$O$21</f>
        <v>0</v>
      </c>
      <c r="W96" s="130">
        <f>((100%-$Q$103)*(Q96*R96))*52.1429</f>
        <v>0</v>
      </c>
      <c r="X96" s="130">
        <f>(T96*V96)*52.1429</f>
        <v>0</v>
      </c>
    </row>
    <row r="97" spans="2:24" ht="15" thickBot="1">
      <c r="B97" s="82"/>
      <c r="C97" s="82" t="s">
        <v>118</v>
      </c>
      <c r="D97" s="111">
        <f>IF('Green+Social Interface'!D22&gt;0,'Green+Social Interface'!F22/'Green+Social Interface'!$D$22,0)</f>
        <v>0</v>
      </c>
      <c r="E97" s="109"/>
      <c r="F97" s="110">
        <f>D97*F96</f>
        <v>0</v>
      </c>
      <c r="G97" s="108"/>
      <c r="H97" s="119">
        <f>F97+G97</f>
        <v>0</v>
      </c>
      <c r="I97" s="1"/>
      <c r="J97" s="1"/>
      <c r="K97" s="89"/>
      <c r="N97" t="s">
        <v>227</v>
      </c>
      <c r="O97" s="88" t="s">
        <v>11</v>
      </c>
      <c r="P97" s="134"/>
      <c r="Q97" s="136">
        <f>'Green+Social Interface'!E50</f>
        <v>0</v>
      </c>
      <c r="R97" s="307">
        <f>'Green+Social Interface'!$D$22</f>
        <v>0</v>
      </c>
      <c r="S97" s="309">
        <f>IF(AND('Green+Social Interface'!Q22&gt;0,'Green+Social Interface'!O22&gt;0),('Green+Social Interface'!Q22/'Green+Social Interface'!O22)*VLOOKUP('Green+Social Interface'!$D$39,'Look-ups_2'!$B$4:$AB$113,18,FALSE)+(1-('Green+Social Interface'!Q22)/'Green+Social Interface'!O22)*VLOOKUP('Green+Social Interface'!$D$39,'Look-ups_2'!$B$4:$AB$113,23,FALSE),VLOOKUP('Green+Social Interface'!$D$39,'Look-ups_2'!$B$4:$AB$113,23,FALSE))</f>
        <v>151.58</v>
      </c>
      <c r="T97" s="181">
        <f t="shared" si="33"/>
        <v>-151.58</v>
      </c>
      <c r="U97" s="185" t="e">
        <f t="shared" si="32"/>
        <v>#DIV/0!</v>
      </c>
      <c r="V97" s="183">
        <f>'Green+Social Interface'!$O$22</f>
        <v>0</v>
      </c>
      <c r="W97" s="130">
        <f>((100%-$Q$103)*(Q97*R97))*52.1429</f>
        <v>0</v>
      </c>
      <c r="X97" s="130">
        <f>(T97*V97)*52.1429</f>
        <v>0</v>
      </c>
    </row>
    <row r="98" spans="2:25" ht="15">
      <c r="B98" s="82" t="s">
        <v>110</v>
      </c>
      <c r="C98" s="82" t="s">
        <v>112</v>
      </c>
      <c r="D98" s="109"/>
      <c r="E98" s="111">
        <f>'Green+Social Interface'!$T$18</f>
        <v>0</v>
      </c>
      <c r="F98" s="112"/>
      <c r="G98" s="110">
        <f>E98</f>
        <v>0</v>
      </c>
      <c r="H98" s="119">
        <f t="shared" si="30"/>
        <v>0</v>
      </c>
      <c r="I98" s="1"/>
      <c r="J98" s="1"/>
      <c r="O98" s="86" t="s">
        <v>93</v>
      </c>
      <c r="P98" s="90" t="s">
        <v>94</v>
      </c>
      <c r="Q98" s="137" t="s">
        <v>95</v>
      </c>
      <c r="S98" s="183" t="s">
        <v>231</v>
      </c>
      <c r="T98" s="128"/>
      <c r="U98" s="128"/>
      <c r="V98" s="128"/>
      <c r="W98" s="129" t="s">
        <v>525</v>
      </c>
      <c r="X98" s="130">
        <f>SUM(W87:X97)</f>
        <v>0</v>
      </c>
      <c r="Y98" s="78">
        <f>IF(X98&gt;0,X98/'Green Infrastructure'!D72,0)</f>
        <v>0</v>
      </c>
    </row>
    <row r="99" spans="2:24" ht="15" thickBot="1">
      <c r="B99" s="82"/>
      <c r="C99" s="82" t="s">
        <v>118</v>
      </c>
      <c r="D99" s="108"/>
      <c r="E99" s="115">
        <v>1</v>
      </c>
      <c r="F99" s="112"/>
      <c r="G99" s="110">
        <f>E99*$E$98</f>
        <v>0</v>
      </c>
      <c r="H99" s="119">
        <f t="shared" si="30"/>
        <v>0</v>
      </c>
      <c r="I99" s="1"/>
      <c r="J99" s="1"/>
      <c r="O99" s="91" t="s">
        <v>96</v>
      </c>
      <c r="P99" s="92">
        <v>4000</v>
      </c>
      <c r="Q99" s="138">
        <v>20</v>
      </c>
      <c r="S99" s="183" t="s">
        <v>232</v>
      </c>
      <c r="T99" s="133"/>
      <c r="U99" s="133"/>
      <c r="V99" s="129"/>
      <c r="W99" s="129"/>
      <c r="X99" s="129"/>
    </row>
    <row r="100" spans="2:10" ht="15">
      <c r="B100" s="82"/>
      <c r="C100" s="82" t="s">
        <v>119</v>
      </c>
      <c r="D100" s="108"/>
      <c r="E100" s="113">
        <v>0.35</v>
      </c>
      <c r="F100" s="112"/>
      <c r="G100" s="110">
        <f aca="true" t="shared" si="34" ref="G100:G102">E100*$E$98</f>
        <v>0</v>
      </c>
      <c r="H100" s="119">
        <f t="shared" si="30"/>
        <v>0</v>
      </c>
      <c r="I100" s="1"/>
      <c r="J100" s="1"/>
    </row>
    <row r="101" spans="2:13" ht="15" thickBot="1">
      <c r="B101" s="82"/>
      <c r="C101" s="82" t="s">
        <v>120</v>
      </c>
      <c r="D101" s="108"/>
      <c r="E101" s="113">
        <v>0.4</v>
      </c>
      <c r="F101" s="112"/>
      <c r="G101" s="110">
        <f t="shared" si="34"/>
        <v>0</v>
      </c>
      <c r="H101" s="119">
        <f t="shared" si="30"/>
        <v>0</v>
      </c>
      <c r="I101" s="1"/>
      <c r="J101" s="1"/>
      <c r="K101" s="89"/>
      <c r="M101" s="10"/>
    </row>
    <row r="102" spans="2:17" ht="15">
      <c r="B102" s="82"/>
      <c r="C102" s="82" t="s">
        <v>121</v>
      </c>
      <c r="D102" s="108"/>
      <c r="E102" s="113">
        <v>0.25</v>
      </c>
      <c r="F102" s="112"/>
      <c r="G102" s="110">
        <f t="shared" si="34"/>
        <v>0</v>
      </c>
      <c r="H102" s="119">
        <f t="shared" si="30"/>
        <v>0</v>
      </c>
      <c r="I102" s="1"/>
      <c r="J102" s="1"/>
      <c r="O102" s="93" t="s">
        <v>97</v>
      </c>
      <c r="P102" s="94"/>
      <c r="Q102" s="95"/>
    </row>
    <row r="103" spans="2:17" ht="15">
      <c r="B103" s="82" t="s">
        <v>110</v>
      </c>
      <c r="C103" s="11" t="s">
        <v>113</v>
      </c>
      <c r="D103" s="111">
        <f>'Green+Social Interface'!$O$18</f>
        <v>0</v>
      </c>
      <c r="E103" s="111">
        <f>'Green+Social Interface'!$T$19</f>
        <v>0</v>
      </c>
      <c r="F103" s="111">
        <f>D103</f>
        <v>0</v>
      </c>
      <c r="G103" s="111">
        <f>E103</f>
        <v>0</v>
      </c>
      <c r="H103" s="119">
        <f t="shared" si="30"/>
        <v>0</v>
      </c>
      <c r="I103" s="1"/>
      <c r="J103" s="1"/>
      <c r="O103" s="96" t="s">
        <v>98</v>
      </c>
      <c r="P103" s="97"/>
      <c r="Q103" s="98">
        <f>'Green+Social Interface'!$I$41</f>
        <v>0.7499</v>
      </c>
    </row>
    <row r="104" spans="2:17" ht="15" thickBot="1">
      <c r="B104" s="82"/>
      <c r="C104" s="82" t="s">
        <v>118</v>
      </c>
      <c r="D104" s="169">
        <f>IF('Green+Social Interface'!O18&gt;0,'Green+Social Interface'!Q18/'Green+Social Interface'!O18,0)</f>
        <v>0</v>
      </c>
      <c r="E104" s="169">
        <f>IF('Green+Social Interface'!T19&gt;0,'Green+Social Interface'!W19/'Green+Social Interface'!T19,0)</f>
        <v>0</v>
      </c>
      <c r="F104" s="111">
        <f>D104*$D$103</f>
        <v>0</v>
      </c>
      <c r="G104" s="111">
        <f>E104*$E$103</f>
        <v>0</v>
      </c>
      <c r="H104" s="141">
        <f t="shared" si="30"/>
        <v>0</v>
      </c>
      <c r="I104" s="1"/>
      <c r="J104" s="1"/>
      <c r="O104" s="99" t="s">
        <v>99</v>
      </c>
      <c r="P104" s="100"/>
      <c r="Q104" s="98"/>
    </row>
    <row r="105" spans="2:13" ht="15">
      <c r="B105" s="82"/>
      <c r="C105" s="82" t="s">
        <v>119</v>
      </c>
      <c r="D105" s="113">
        <v>0.35</v>
      </c>
      <c r="E105" s="113">
        <v>0.35</v>
      </c>
      <c r="F105" s="113">
        <f>D105*$F$104</f>
        <v>0</v>
      </c>
      <c r="G105" s="113">
        <f>E105*$G$104</f>
        <v>0</v>
      </c>
      <c r="H105" s="119">
        <f t="shared" si="30"/>
        <v>0</v>
      </c>
      <c r="I105" s="1"/>
      <c r="J105" s="1"/>
      <c r="K105" s="10"/>
      <c r="M105" s="10"/>
    </row>
    <row r="106" spans="2:17" ht="15">
      <c r="B106" s="82"/>
      <c r="C106" s="82" t="s">
        <v>120</v>
      </c>
      <c r="D106" s="113">
        <v>0.4</v>
      </c>
      <c r="E106" s="113">
        <v>0.4</v>
      </c>
      <c r="F106" s="113">
        <f aca="true" t="shared" si="35" ref="F106:F107">D106*$F$104</f>
        <v>0</v>
      </c>
      <c r="G106" s="113">
        <f aca="true" t="shared" si="36" ref="G106:G107">E106*$G$104</f>
        <v>0</v>
      </c>
      <c r="H106" s="119">
        <f t="shared" si="30"/>
        <v>0</v>
      </c>
      <c r="I106" s="1"/>
      <c r="J106" s="1"/>
      <c r="O106" s="101"/>
      <c r="P106" s="102"/>
      <c r="Q106" s="103"/>
    </row>
    <row r="107" spans="2:17" ht="15">
      <c r="B107" s="82"/>
      <c r="C107" s="82" t="s">
        <v>121</v>
      </c>
      <c r="D107" s="113">
        <v>0.25</v>
      </c>
      <c r="E107" s="113">
        <v>0.25</v>
      </c>
      <c r="F107" s="113">
        <f t="shared" si="35"/>
        <v>0</v>
      </c>
      <c r="G107" s="113">
        <f t="shared" si="36"/>
        <v>0</v>
      </c>
      <c r="H107" s="119">
        <f t="shared" si="30"/>
        <v>0</v>
      </c>
      <c r="I107" s="1"/>
      <c r="J107" s="1"/>
      <c r="O107" s="96"/>
      <c r="Q107" s="104"/>
    </row>
    <row r="108" spans="2:10" ht="15">
      <c r="B108" s="82"/>
      <c r="C108" s="11" t="s">
        <v>131</v>
      </c>
      <c r="D108" s="169">
        <f>1-D104</f>
        <v>1</v>
      </c>
      <c r="E108" s="169">
        <f>1-E104</f>
        <v>1</v>
      </c>
      <c r="F108" s="111">
        <f>D108*D103</f>
        <v>0</v>
      </c>
      <c r="G108" s="111">
        <f>E108*E103</f>
        <v>0</v>
      </c>
      <c r="H108" s="141">
        <f t="shared" si="30"/>
        <v>0</v>
      </c>
      <c r="I108" s="1"/>
      <c r="J108" s="1"/>
    </row>
    <row r="109" spans="2:13" ht="15">
      <c r="B109" s="82"/>
      <c r="C109" s="82" t="s">
        <v>119</v>
      </c>
      <c r="D109" s="113">
        <v>0.35</v>
      </c>
      <c r="E109" s="113">
        <v>0.35</v>
      </c>
      <c r="F109" s="113">
        <f>D109*$F$108</f>
        <v>0</v>
      </c>
      <c r="G109" s="113">
        <f>E109*$G$108</f>
        <v>0</v>
      </c>
      <c r="H109" s="119">
        <f t="shared" si="30"/>
        <v>0</v>
      </c>
      <c r="I109" s="1"/>
      <c r="J109" s="1"/>
      <c r="K109" s="10"/>
      <c r="M109" s="10"/>
    </row>
    <row r="110" spans="2:17" ht="15">
      <c r="B110" s="82"/>
      <c r="C110" s="82" t="s">
        <v>120</v>
      </c>
      <c r="D110" s="113">
        <v>0.4</v>
      </c>
      <c r="E110" s="113">
        <v>0.4</v>
      </c>
      <c r="F110" s="113">
        <f aca="true" t="shared" si="37" ref="F110:F111">D110*$F$108</f>
        <v>0</v>
      </c>
      <c r="G110" s="113">
        <f aca="true" t="shared" si="38" ref="G110:G111">E110*$G$108</f>
        <v>0</v>
      </c>
      <c r="H110" s="119">
        <f t="shared" si="30"/>
        <v>0</v>
      </c>
      <c r="I110" s="1"/>
      <c r="J110" s="1"/>
      <c r="O110" s="105" t="s">
        <v>100</v>
      </c>
      <c r="Q110" s="106">
        <f>'Green+Social Interface'!I34+Q107</f>
        <v>0.05</v>
      </c>
    </row>
    <row r="111" spans="2:10" ht="15">
      <c r="B111" s="82"/>
      <c r="C111" s="82" t="s">
        <v>121</v>
      </c>
      <c r="D111" s="113">
        <v>0.25</v>
      </c>
      <c r="E111" s="113">
        <v>0.25</v>
      </c>
      <c r="F111" s="113">
        <f t="shared" si="37"/>
        <v>0</v>
      </c>
      <c r="G111" s="113">
        <f t="shared" si="38"/>
        <v>0</v>
      </c>
      <c r="H111" s="119">
        <f t="shared" si="30"/>
        <v>0</v>
      </c>
      <c r="I111" s="1"/>
      <c r="J111" s="1"/>
    </row>
    <row r="112" spans="2:10" ht="15" thickBot="1">
      <c r="B112" s="82" t="s">
        <v>110</v>
      </c>
      <c r="C112" s="11" t="s">
        <v>114</v>
      </c>
      <c r="D112" s="111">
        <f>'Green+Social Interface'!$O$19</f>
        <v>0</v>
      </c>
      <c r="E112" s="111">
        <f>'Green+Social Interface'!$T$20</f>
        <v>0</v>
      </c>
      <c r="F112" s="111">
        <f>D112</f>
        <v>0</v>
      </c>
      <c r="G112" s="111">
        <f>E112</f>
        <v>0</v>
      </c>
      <c r="H112" s="119">
        <f t="shared" si="30"/>
        <v>0</v>
      </c>
      <c r="I112" s="1"/>
      <c r="J112" s="1"/>
    </row>
    <row r="113" spans="2:17" ht="15">
      <c r="B113" s="82"/>
      <c r="C113" s="82" t="s">
        <v>118</v>
      </c>
      <c r="D113" s="301">
        <f>IF('Green+Social Interface'!O19&gt;0,'Green+Social Interface'!Q19/'Green+Social Interface'!O19,0)</f>
        <v>0</v>
      </c>
      <c r="E113" s="169">
        <f>IF('Green+Social Interface'!$T$20&gt;0,'Green+Social Interface'!W20/'Green+Social Interface'!$T$20,0)</f>
        <v>0</v>
      </c>
      <c r="F113" s="111">
        <f>D113*F112</f>
        <v>0</v>
      </c>
      <c r="G113" s="111">
        <f>E113*G112</f>
        <v>0</v>
      </c>
      <c r="H113" s="141">
        <f>F113+G113</f>
        <v>0</v>
      </c>
      <c r="I113" s="1"/>
      <c r="J113" s="1"/>
      <c r="N113" s="293" t="s">
        <v>562</v>
      </c>
      <c r="O113" s="294"/>
      <c r="P113" s="294"/>
      <c r="Q113" s="295"/>
    </row>
    <row r="114" spans="2:17" ht="15">
      <c r="B114" s="82"/>
      <c r="C114" s="82" t="s">
        <v>122</v>
      </c>
      <c r="D114" s="113">
        <v>0.4</v>
      </c>
      <c r="E114" s="113">
        <v>0.4</v>
      </c>
      <c r="F114" s="110">
        <f>D114*$F$112</f>
        <v>0</v>
      </c>
      <c r="G114" s="110">
        <f>E114*$G$112</f>
        <v>0</v>
      </c>
      <c r="H114" s="119">
        <f t="shared" si="30"/>
        <v>0</v>
      </c>
      <c r="I114" s="1"/>
      <c r="J114" s="1"/>
      <c r="K114" s="10"/>
      <c r="M114" s="10"/>
      <c r="N114" s="296" t="s">
        <v>565</v>
      </c>
      <c r="O114" t="s">
        <v>10</v>
      </c>
      <c r="P114">
        <f>'Green+Social Interface'!I18</f>
        <v>0</v>
      </c>
      <c r="Q114" s="297">
        <f>IF(P114&gt;0,P114/$P$119,0)</f>
        <v>0</v>
      </c>
    </row>
    <row r="115" spans="2:17" ht="15">
      <c r="B115" s="82"/>
      <c r="C115" s="82" t="s">
        <v>123</v>
      </c>
      <c r="D115" s="113">
        <v>0.4</v>
      </c>
      <c r="E115" s="113">
        <v>0.4</v>
      </c>
      <c r="F115" s="110">
        <f aca="true" t="shared" si="39" ref="F115:F116">D115*$F$112</f>
        <v>0</v>
      </c>
      <c r="G115" s="110">
        <f aca="true" t="shared" si="40" ref="G115">E115*$G$112</f>
        <v>0</v>
      </c>
      <c r="H115" s="119">
        <f t="shared" si="30"/>
        <v>0</v>
      </c>
      <c r="I115" s="1"/>
      <c r="J115" s="1"/>
      <c r="N115" s="296"/>
      <c r="O115" t="s">
        <v>563</v>
      </c>
      <c r="P115">
        <f>'Green+Social Interface'!I19</f>
        <v>0</v>
      </c>
      <c r="Q115" s="297">
        <f aca="true" t="shared" si="41" ref="Q115:Q118">IF(P115&gt;0,P115/$P$119,0)</f>
        <v>0</v>
      </c>
    </row>
    <row r="116" spans="2:17" ht="15">
      <c r="B116" s="82"/>
      <c r="C116" s="82" t="s">
        <v>124</v>
      </c>
      <c r="D116" s="169">
        <f>1-D113</f>
        <v>1</v>
      </c>
      <c r="E116" s="169">
        <f>1-E113</f>
        <v>1</v>
      </c>
      <c r="F116" s="111">
        <f t="shared" si="39"/>
        <v>0</v>
      </c>
      <c r="G116" s="111">
        <f>E116*$G$112</f>
        <v>0</v>
      </c>
      <c r="H116" s="141">
        <f t="shared" si="30"/>
        <v>0</v>
      </c>
      <c r="I116" s="1"/>
      <c r="J116" s="1"/>
      <c r="N116" s="296"/>
      <c r="O116" t="s">
        <v>564</v>
      </c>
      <c r="P116">
        <f>'Green+Social Interface'!I20</f>
        <v>0</v>
      </c>
      <c r="Q116" s="297">
        <f t="shared" si="41"/>
        <v>0</v>
      </c>
    </row>
    <row r="117" spans="2:17" ht="15">
      <c r="B117" s="82" t="s">
        <v>110</v>
      </c>
      <c r="C117" s="11" t="s">
        <v>115</v>
      </c>
      <c r="D117" s="111">
        <f>'Green+Social Interface'!$O$20</f>
        <v>0</v>
      </c>
      <c r="E117" s="111">
        <f>'Green+Social Interface'!$T$21</f>
        <v>0</v>
      </c>
      <c r="F117" s="111">
        <f>D117</f>
        <v>0</v>
      </c>
      <c r="G117" s="111">
        <f>E117</f>
        <v>0</v>
      </c>
      <c r="H117" s="119">
        <f t="shared" si="30"/>
        <v>0</v>
      </c>
      <c r="I117" s="1"/>
      <c r="J117" s="1"/>
      <c r="N117" s="296" t="s">
        <v>566</v>
      </c>
      <c r="O117" t="s">
        <v>563</v>
      </c>
      <c r="P117">
        <f>'Green+Social Interface'!D18</f>
        <v>0</v>
      </c>
      <c r="Q117" s="297">
        <f t="shared" si="41"/>
        <v>0</v>
      </c>
    </row>
    <row r="118" spans="2:17" ht="15">
      <c r="B118" s="82"/>
      <c r="C118" s="82" t="s">
        <v>118</v>
      </c>
      <c r="D118" s="169">
        <f>IF('Green+Social Interface'!$O$20&gt;0,'Green+Social Interface'!Q20/'Green+Social Interface'!$O$20,0)</f>
        <v>0</v>
      </c>
      <c r="E118" s="169">
        <f>IF('Green+Social Interface'!$T$21&gt;0,'Green+Social Interface'!W21/'Green+Social Interface'!$T$21,0)</f>
        <v>0</v>
      </c>
      <c r="F118" s="111">
        <f>D118*F117</f>
        <v>0</v>
      </c>
      <c r="G118" s="111">
        <f>E118*G117</f>
        <v>0</v>
      </c>
      <c r="H118" s="141">
        <f>F118+G118</f>
        <v>0</v>
      </c>
      <c r="I118" s="1"/>
      <c r="J118" s="1"/>
      <c r="N118" s="296"/>
      <c r="O118" t="s">
        <v>564</v>
      </c>
      <c r="P118">
        <f>'Green+Social Interface'!D19</f>
        <v>0</v>
      </c>
      <c r="Q118" s="297">
        <f t="shared" si="41"/>
        <v>0</v>
      </c>
    </row>
    <row r="119" spans="2:17" ht="15">
      <c r="B119" s="82"/>
      <c r="C119" s="82" t="s">
        <v>125</v>
      </c>
      <c r="D119" s="113">
        <v>0.4</v>
      </c>
      <c r="E119" s="113">
        <v>0.4</v>
      </c>
      <c r="F119" s="110">
        <f>D119*$F$117</f>
        <v>0</v>
      </c>
      <c r="G119" s="110">
        <f>E119*$G$117</f>
        <v>0</v>
      </c>
      <c r="H119" s="119">
        <f t="shared" si="30"/>
        <v>0</v>
      </c>
      <c r="I119" s="1"/>
      <c r="J119" s="1"/>
      <c r="K119" s="107"/>
      <c r="N119" s="296" t="s">
        <v>567</v>
      </c>
      <c r="P119">
        <f>SUM(P114:P118)</f>
        <v>0</v>
      </c>
      <c r="Q119" s="297"/>
    </row>
    <row r="120" spans="2:17" ht="15">
      <c r="B120" s="82"/>
      <c r="C120" s="82" t="s">
        <v>126</v>
      </c>
      <c r="D120" s="113">
        <v>0.4</v>
      </c>
      <c r="E120" s="113">
        <v>0.4</v>
      </c>
      <c r="F120" s="110">
        <f aca="true" t="shared" si="42" ref="F120:F121">D120*$F$117</f>
        <v>0</v>
      </c>
      <c r="G120" s="110">
        <f aca="true" t="shared" si="43" ref="G120:G121">E120*$G$117</f>
        <v>0</v>
      </c>
      <c r="H120" s="119">
        <f t="shared" si="30"/>
        <v>0</v>
      </c>
      <c r="I120" s="1"/>
      <c r="J120" s="1"/>
      <c r="K120" s="107"/>
      <c r="N120" s="296" t="s">
        <v>110</v>
      </c>
      <c r="Q120" s="297"/>
    </row>
    <row r="121" spans="2:17" ht="15">
      <c r="B121" s="82"/>
      <c r="C121" s="82" t="s">
        <v>127</v>
      </c>
      <c r="D121" s="169">
        <f>1-D118</f>
        <v>1</v>
      </c>
      <c r="E121" s="169">
        <f>1-E118</f>
        <v>1</v>
      </c>
      <c r="F121" s="111">
        <f t="shared" si="42"/>
        <v>0</v>
      </c>
      <c r="G121" s="111">
        <f t="shared" si="43"/>
        <v>0</v>
      </c>
      <c r="H121" s="141">
        <f t="shared" si="30"/>
        <v>0</v>
      </c>
      <c r="I121" s="1"/>
      <c r="J121" s="1"/>
      <c r="K121" s="107"/>
      <c r="N121" s="296" t="s">
        <v>565</v>
      </c>
      <c r="O121" t="s">
        <v>10</v>
      </c>
      <c r="P121">
        <f>'Green+Social Interface'!T18</f>
        <v>0</v>
      </c>
      <c r="Q121" s="297">
        <f>IF(P121&gt;0,P121/$P$126,0)</f>
        <v>0</v>
      </c>
    </row>
    <row r="122" spans="2:17" ht="15">
      <c r="B122" s="82" t="s">
        <v>110</v>
      </c>
      <c r="C122" s="11" t="s">
        <v>116</v>
      </c>
      <c r="D122" s="111">
        <f>'Green+Social Interface'!$O$21</f>
        <v>0</v>
      </c>
      <c r="E122" s="111">
        <f>'Green+Social Interface'!$T$22</f>
        <v>0</v>
      </c>
      <c r="F122" s="111">
        <f>D122</f>
        <v>0</v>
      </c>
      <c r="G122" s="111">
        <f>E122</f>
        <v>0</v>
      </c>
      <c r="H122" s="119">
        <f t="shared" si="30"/>
        <v>0</v>
      </c>
      <c r="I122" s="1"/>
      <c r="J122" s="1"/>
      <c r="K122" s="107"/>
      <c r="N122" s="296"/>
      <c r="O122" t="s">
        <v>563</v>
      </c>
      <c r="P122">
        <f>'Green+Social Interface'!T19</f>
        <v>0</v>
      </c>
      <c r="Q122" s="297">
        <f aca="true" t="shared" si="44" ref="Q122:Q125">IF(P122&gt;0,P122/$P$126,0)</f>
        <v>0</v>
      </c>
    </row>
    <row r="123" spans="2:17" ht="15">
      <c r="B123" s="82"/>
      <c r="C123" s="82" t="s">
        <v>118</v>
      </c>
      <c r="D123" s="169">
        <f>IF('Green+Social Interface'!$O$21&gt;0,'Green+Social Interface'!Q21/'Green+Social Interface'!$O$21,0)</f>
        <v>0</v>
      </c>
      <c r="E123" s="169">
        <f>IF('Green+Social Interface'!$T$22&gt;0,'Green+Social Interface'!W22/'Green+Social Interface'!$T$22,0)</f>
        <v>0</v>
      </c>
      <c r="F123" s="111">
        <f>D123*F122</f>
        <v>0</v>
      </c>
      <c r="G123" s="111">
        <f>E123*G122</f>
        <v>0</v>
      </c>
      <c r="H123" s="119">
        <f>F123+G123</f>
        <v>0</v>
      </c>
      <c r="I123" s="1"/>
      <c r="J123" s="1"/>
      <c r="K123" s="107"/>
      <c r="N123" s="296"/>
      <c r="O123" t="s">
        <v>564</v>
      </c>
      <c r="P123">
        <f>'Green+Social Interface'!T20</f>
        <v>0</v>
      </c>
      <c r="Q123" s="297">
        <f t="shared" si="44"/>
        <v>0</v>
      </c>
    </row>
    <row r="124" spans="2:17" ht="15">
      <c r="B124" s="82"/>
      <c r="C124" s="82" t="s">
        <v>128</v>
      </c>
      <c r="D124" s="113">
        <v>0.2</v>
      </c>
      <c r="E124" s="113">
        <v>0.2</v>
      </c>
      <c r="F124" s="110">
        <f>D124*$F$122</f>
        <v>0</v>
      </c>
      <c r="G124" s="110">
        <f>E124*$G$122</f>
        <v>0</v>
      </c>
      <c r="H124" s="119">
        <f t="shared" si="30"/>
        <v>0</v>
      </c>
      <c r="I124" s="1"/>
      <c r="J124" s="1"/>
      <c r="K124" s="107"/>
      <c r="N124" s="296" t="s">
        <v>566</v>
      </c>
      <c r="O124" t="s">
        <v>563</v>
      </c>
      <c r="P124">
        <f>'Green+Social Interface'!O18</f>
        <v>0</v>
      </c>
      <c r="Q124" s="297">
        <f t="shared" si="44"/>
        <v>0</v>
      </c>
    </row>
    <row r="125" spans="2:17" ht="15">
      <c r="B125" s="82"/>
      <c r="C125" s="82" t="s">
        <v>129</v>
      </c>
      <c r="D125" s="113">
        <v>0.2</v>
      </c>
      <c r="E125" s="113">
        <v>0.2</v>
      </c>
      <c r="F125" s="110">
        <f aca="true" t="shared" si="45" ref="F125:F126">D125*$F$122</f>
        <v>0</v>
      </c>
      <c r="G125" s="110">
        <f>E125*$G$122</f>
        <v>0</v>
      </c>
      <c r="H125" s="119">
        <f t="shared" si="30"/>
        <v>0</v>
      </c>
      <c r="I125" s="1"/>
      <c r="J125" s="1"/>
      <c r="K125" s="107"/>
      <c r="N125" s="296"/>
      <c r="O125" t="s">
        <v>564</v>
      </c>
      <c r="P125">
        <f>'Green+Social Interface'!O19</f>
        <v>0</v>
      </c>
      <c r="Q125" s="297">
        <f t="shared" si="44"/>
        <v>0</v>
      </c>
    </row>
    <row r="126" spans="2:17" ht="15" thickBot="1">
      <c r="B126" s="82"/>
      <c r="C126" s="82" t="s">
        <v>130</v>
      </c>
      <c r="D126" s="169">
        <f>1-D123</f>
        <v>1</v>
      </c>
      <c r="E126" s="169">
        <f>1-E123</f>
        <v>1</v>
      </c>
      <c r="F126" s="111">
        <f t="shared" si="45"/>
        <v>0</v>
      </c>
      <c r="G126" s="111">
        <f>E126*$G$122</f>
        <v>0</v>
      </c>
      <c r="H126" s="141">
        <f t="shared" si="30"/>
        <v>0</v>
      </c>
      <c r="I126" s="1"/>
      <c r="J126" s="1"/>
      <c r="N126" s="298" t="s">
        <v>568</v>
      </c>
      <c r="O126" s="299"/>
      <c r="P126" s="299">
        <f>SUM(P121:P125)</f>
        <v>0</v>
      </c>
      <c r="Q126" s="300"/>
    </row>
    <row r="127" spans="2:10" ht="15">
      <c r="B127" s="82" t="s">
        <v>110</v>
      </c>
      <c r="C127" s="11" t="s">
        <v>117</v>
      </c>
      <c r="D127" s="111">
        <f>'Green+Social Interface'!$O$22</f>
        <v>0</v>
      </c>
      <c r="E127" s="139"/>
      <c r="F127" s="111">
        <f>D127</f>
        <v>0</v>
      </c>
      <c r="G127" s="140"/>
      <c r="H127" s="141">
        <f t="shared" si="30"/>
        <v>0</v>
      </c>
      <c r="I127" s="149"/>
      <c r="J127" s="149"/>
    </row>
    <row r="128" spans="2:10" ht="15">
      <c r="B128" s="82"/>
      <c r="C128" s="82" t="s">
        <v>118</v>
      </c>
      <c r="D128" s="169">
        <f>IF('Green+Social Interface'!$O$22&gt;0,'Green+Social Interface'!Q22/'Green+Social Interface'!$O$22,0)</f>
        <v>0</v>
      </c>
      <c r="E128" s="139"/>
      <c r="F128" s="111">
        <f>D128*F127</f>
        <v>0</v>
      </c>
      <c r="G128" s="140"/>
      <c r="H128" s="141">
        <f>F128</f>
        <v>0</v>
      </c>
      <c r="I128" s="149"/>
      <c r="J128" s="149"/>
    </row>
    <row r="129" spans="2:10" ht="15">
      <c r="B129" s="82"/>
      <c r="C129" s="82" t="s">
        <v>128</v>
      </c>
      <c r="D129" s="113">
        <v>0.2</v>
      </c>
      <c r="E129" s="114"/>
      <c r="F129" s="110">
        <f>D129*$F$127</f>
        <v>0</v>
      </c>
      <c r="G129" s="112"/>
      <c r="H129" s="119">
        <f t="shared" si="30"/>
        <v>0</v>
      </c>
      <c r="I129" s="1"/>
      <c r="J129" s="1"/>
    </row>
    <row r="130" spans="2:10" ht="15">
      <c r="B130" s="82"/>
      <c r="C130" s="82" t="s">
        <v>129</v>
      </c>
      <c r="D130" s="113">
        <v>0.2</v>
      </c>
      <c r="E130" s="114"/>
      <c r="F130" s="110">
        <f aca="true" t="shared" si="46" ref="F130:F131">D130*$F$127</f>
        <v>0</v>
      </c>
      <c r="G130" s="112"/>
      <c r="H130" s="119">
        <f t="shared" si="30"/>
        <v>0</v>
      </c>
      <c r="I130" s="1"/>
      <c r="J130" s="1"/>
    </row>
    <row r="131" spans="2:10" ht="15">
      <c r="B131" s="82"/>
      <c r="C131" s="82" t="s">
        <v>130</v>
      </c>
      <c r="D131" s="113">
        <f>1-D128</f>
        <v>1</v>
      </c>
      <c r="E131" s="114"/>
      <c r="F131" s="110">
        <f t="shared" si="46"/>
        <v>0</v>
      </c>
      <c r="G131" s="112"/>
      <c r="H131" s="119">
        <f t="shared" si="30"/>
        <v>0</v>
      </c>
      <c r="I131" s="1"/>
      <c r="J131" s="1"/>
    </row>
    <row r="132" spans="3:7" ht="15">
      <c r="C132" s="85"/>
      <c r="D132" s="123"/>
      <c r="E132" s="123"/>
      <c r="G132" s="118"/>
    </row>
    <row r="133" spans="3:7" ht="15">
      <c r="C133" s="85"/>
      <c r="D133" s="123"/>
      <c r="E133" s="123"/>
      <c r="G133" s="118"/>
    </row>
    <row r="134" spans="2:10" ht="43.2">
      <c r="B134" s="82"/>
      <c r="C134" s="82"/>
      <c r="D134" s="11"/>
      <c r="E134" s="82"/>
      <c r="F134" s="124" t="s">
        <v>133</v>
      </c>
      <c r="G134" s="124" t="s">
        <v>134</v>
      </c>
      <c r="H134" s="124" t="s">
        <v>135</v>
      </c>
      <c r="I134" s="146"/>
      <c r="J134" s="146"/>
    </row>
    <row r="135" spans="2:10" ht="15">
      <c r="B135" s="82" t="s">
        <v>101</v>
      </c>
      <c r="C135" s="82" t="s">
        <v>102</v>
      </c>
      <c r="D135" s="82"/>
      <c r="E135" s="82"/>
      <c r="F135" s="320">
        <f>(F90+2*F92+3*F94+3*F96+F112+2*F117+3*F122+3*F127)*0.05</f>
        <v>0</v>
      </c>
      <c r="G135" s="320">
        <f>(G90+(2*G92)+(3*G94)+G112+(2*G117)+(3*G122))*0.05</f>
        <v>0</v>
      </c>
      <c r="H135" s="321">
        <f>(F135+G135)</f>
        <v>0</v>
      </c>
      <c r="I135" s="150"/>
      <c r="J135" s="150"/>
    </row>
    <row r="136" spans="2:10" ht="15">
      <c r="B136" s="82" t="s">
        <v>628</v>
      </c>
      <c r="C136" s="82"/>
      <c r="D136" s="82"/>
      <c r="E136" s="82"/>
      <c r="F136" s="122"/>
      <c r="G136" s="122"/>
      <c r="H136" s="121">
        <f>'Green+Social Interface'!F6+'Green+Social Interface'!F7+'Green+Social Interface'!F8+'Green+Social Interface'!F9+'Green+Social Interface'!F10+'Green+Social Interface'!F11</f>
        <v>0</v>
      </c>
      <c r="I136" s="150"/>
      <c r="J136" s="150"/>
    </row>
    <row r="137" spans="2:10" ht="15">
      <c r="B137" s="82" t="s">
        <v>629</v>
      </c>
      <c r="C137" s="82"/>
      <c r="D137" s="82"/>
      <c r="E137" s="82"/>
      <c r="F137" s="122"/>
      <c r="G137" s="122"/>
      <c r="H137" s="121">
        <f>'Green+Social Interface'!E6+'Green+Social Interface'!E7+'Green+Social Interface'!E8+'Green+Social Interface'!E9+'Green+Social Interface'!E10+'Green+Social Interface'!E11</f>
        <v>0</v>
      </c>
      <c r="I137" s="150"/>
      <c r="J137" s="150"/>
    </row>
    <row r="138" spans="2:10" ht="15">
      <c r="B138" s="82" t="s">
        <v>103</v>
      </c>
      <c r="C138" s="82" t="s">
        <v>104</v>
      </c>
      <c r="D138" s="82"/>
      <c r="E138" s="82"/>
      <c r="F138" s="120">
        <f>(F104+(F108*2))+(F113+(F116*2))+(F118+(F121*2))+(F123+(F126*2))+(F128+(F131*2))</f>
        <v>0</v>
      </c>
      <c r="G138" s="120">
        <f>(G98*2-('Green+Social Interface'!W18))+(G104+(G108*2))+(G113+(G116*2))+(G118+(G121*2))+(G123+(G126*2))</f>
        <v>0</v>
      </c>
      <c r="H138" s="121">
        <f>(F138+G138)-(H136)</f>
        <v>0</v>
      </c>
      <c r="I138" s="150"/>
      <c r="J138" s="150"/>
    </row>
    <row r="139" spans="2:10" ht="15">
      <c r="B139" s="82" t="s">
        <v>105</v>
      </c>
      <c r="C139" s="82"/>
      <c r="D139" s="82"/>
      <c r="E139" s="82"/>
      <c r="F139" s="170">
        <f>(F88*2-(F89))+(F90*2-(F91))+(F92*2-(F93))+(F94*2-(F95))+(F96*2-(F97))</f>
        <v>0</v>
      </c>
      <c r="G139" s="170">
        <f>(G87*2-('Green+Social Interface'!L18))+(G88*2-(G89))+(G90*2-(G91))+(G92*2-(G93))+(G94*2-(G95))</f>
        <v>0</v>
      </c>
      <c r="H139" s="121">
        <f>(F139+G139)-(H137)</f>
        <v>0</v>
      </c>
      <c r="I139" s="150"/>
      <c r="J139" s="150"/>
    </row>
    <row r="140" spans="2:10" ht="15">
      <c r="B140" s="322" t="s">
        <v>0</v>
      </c>
      <c r="C140" s="322" t="s">
        <v>569</v>
      </c>
      <c r="D140" s="322"/>
      <c r="E140" s="322"/>
      <c r="F140" s="323">
        <f>F104*0.17+F113*0.17</f>
        <v>0</v>
      </c>
      <c r="G140" s="323">
        <f>G98*0.17+G104*0.17+G113*0.17</f>
        <v>0</v>
      </c>
      <c r="H140" s="323">
        <f>(H99*0.17+H104*0.17+H113*0.17)</f>
        <v>0</v>
      </c>
      <c r="I140" s="150"/>
      <c r="J140" s="150"/>
    </row>
    <row r="141" spans="2:10" ht="15">
      <c r="B141" s="82" t="s">
        <v>106</v>
      </c>
      <c r="C141" s="82" t="s">
        <v>107</v>
      </c>
      <c r="D141" s="82"/>
      <c r="E141" s="82"/>
      <c r="F141" s="120">
        <f>F88*0.1+(F90*0.5*0.1)+(F92*0.5*0.1)+(F94*0.5*0.1)+(F96*0.5*0.1)+(F104*0.1)+(F114*0.1)+(F119*0.1)+(F124*0.1)+(F129*0.1)</f>
        <v>0</v>
      </c>
      <c r="G141" s="120">
        <f>G88*0.1+(G90*0.5*0.1)+(G92*0.5*0.1)+(G94*0.5*0.1)+(G96*0.5*0.1)+(G104*0.1)+(G114*0.1)+(G119*0.1)+(G124*0.1)+(G129*0.1)</f>
        <v>0</v>
      </c>
      <c r="H141" s="121">
        <f aca="true" t="shared" si="47" ref="H141">F141+G141</f>
        <v>0</v>
      </c>
      <c r="I141" s="150"/>
      <c r="J141" s="150"/>
    </row>
    <row r="142" spans="2:8" ht="15">
      <c r="B142" t="s">
        <v>663</v>
      </c>
      <c r="H142" s="107">
        <f aca="true" t="array" ref="H142">SUM('Green+Social Interface'!O18:O22+'Green+Social Interface'!T18:T22)</f>
        <v>0</v>
      </c>
    </row>
    <row r="143" spans="2:8" ht="15">
      <c r="B143" t="s">
        <v>664</v>
      </c>
      <c r="H143" s="107">
        <f aca="true" t="array" ref="H143">SUM('Green+Social Interface'!D18:D22+'Green+Social Interface'!I18:I22)</f>
        <v>0</v>
      </c>
    </row>
  </sheetData>
  <sheetProtection algorithmName="SHA-512" hashValue="ibZHpZKK7XbqAdZROg+7J5Xp37OtVSaWsCLqJT733yGakJd4suoklzrK93R1KMQUYSb+eKbKAaTIyGHceh5zeg==" saltValue="8wg1aHVU0gx7ZMRf2f6PyQ==" spinCount="100000" sheet="1" selectLockedCells="1" selectUnlockedCells="1"/>
  <printOptions/>
  <pageMargins left="0.7" right="0.7" top="0.75" bottom="0.75" header="0.3" footer="0.3"/>
  <pageSetup horizontalDpi="1200" verticalDpi="1200" orientation="portrait" paperSize="9"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799847602844"/>
  </sheetPr>
  <dimension ref="B1:AZ86"/>
  <sheetViews>
    <sheetView workbookViewId="0" topLeftCell="A1">
      <selection activeCell="Q15" sqref="Q15"/>
    </sheetView>
  </sheetViews>
  <sheetFormatPr defaultColWidth="9.28125" defaultRowHeight="15"/>
  <cols>
    <col min="2" max="2" width="37.57421875" style="0" customWidth="1"/>
    <col min="3" max="3" width="50.421875" style="0" customWidth="1"/>
    <col min="4" max="4" width="9.421875" style="0" customWidth="1"/>
    <col min="5" max="5" width="11.421875" style="0" bestFit="1" customWidth="1"/>
    <col min="6" max="9" width="9.421875" style="0" customWidth="1"/>
    <col min="10" max="10" width="12.421875" style="0" customWidth="1"/>
    <col min="11" max="11" width="14.421875" style="0" bestFit="1" customWidth="1"/>
    <col min="12" max="52" width="14.421875" style="0" customWidth="1"/>
  </cols>
  <sheetData>
    <row r="1" spans="2:52" ht="15">
      <c r="B1" s="3" t="s">
        <v>13</v>
      </c>
      <c r="C1" s="4"/>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row>
    <row r="2" spans="2:52" ht="15">
      <c r="B2" s="3" t="s">
        <v>14</v>
      </c>
      <c r="C2" s="4"/>
      <c r="F2" s="5"/>
      <c r="G2" s="5"/>
      <c r="H2" s="171" t="s">
        <v>218</v>
      </c>
      <c r="I2" s="172"/>
      <c r="J2" s="172"/>
      <c r="K2" s="172"/>
      <c r="L2" s="5">
        <v>15</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5:52" ht="15">
      <c r="E3" s="126" t="s">
        <v>15</v>
      </c>
      <c r="F3" s="5"/>
      <c r="G3" s="5" t="s">
        <v>16</v>
      </c>
      <c r="H3" s="6">
        <v>0</v>
      </c>
      <c r="I3" s="6"/>
      <c r="J3" s="6"/>
      <c r="K3" s="6"/>
      <c r="L3" s="6"/>
      <c r="M3" s="6">
        <v>1</v>
      </c>
      <c r="N3" s="6">
        <v>2</v>
      </c>
      <c r="O3" s="6">
        <v>3</v>
      </c>
      <c r="P3" s="6">
        <v>4</v>
      </c>
      <c r="Q3" s="6">
        <v>5</v>
      </c>
      <c r="R3" s="6">
        <v>6</v>
      </c>
      <c r="S3" s="6">
        <v>7</v>
      </c>
      <c r="T3" s="6">
        <v>8</v>
      </c>
      <c r="U3" s="6">
        <v>9</v>
      </c>
      <c r="V3" s="6">
        <v>10</v>
      </c>
      <c r="W3" s="6">
        <v>11</v>
      </c>
      <c r="X3" s="6">
        <v>12</v>
      </c>
      <c r="Y3" s="6">
        <v>13</v>
      </c>
      <c r="Z3" s="6">
        <v>14</v>
      </c>
      <c r="AA3" s="6">
        <v>15</v>
      </c>
      <c r="AB3" s="6">
        <v>16</v>
      </c>
      <c r="AC3" s="6">
        <v>17</v>
      </c>
      <c r="AD3" s="6">
        <v>18</v>
      </c>
      <c r="AE3" s="6">
        <v>19</v>
      </c>
      <c r="AF3" s="6">
        <v>20</v>
      </c>
      <c r="AG3" s="6">
        <v>21</v>
      </c>
      <c r="AH3" s="6">
        <v>22</v>
      </c>
      <c r="AI3" s="6">
        <v>23</v>
      </c>
      <c r="AJ3" s="6">
        <v>24</v>
      </c>
      <c r="AK3" s="6">
        <v>25</v>
      </c>
      <c r="AL3" s="6">
        <v>26</v>
      </c>
      <c r="AM3" s="6">
        <v>27</v>
      </c>
      <c r="AN3" s="6">
        <v>28</v>
      </c>
      <c r="AO3" s="6">
        <v>29</v>
      </c>
      <c r="AP3" s="6">
        <v>30</v>
      </c>
      <c r="AQ3" s="6">
        <v>31</v>
      </c>
      <c r="AR3" s="6">
        <v>32</v>
      </c>
      <c r="AS3" s="6">
        <v>33</v>
      </c>
      <c r="AT3" s="6">
        <v>34</v>
      </c>
      <c r="AU3" s="6">
        <v>35</v>
      </c>
      <c r="AV3" s="6">
        <v>36</v>
      </c>
      <c r="AW3" s="6">
        <v>37</v>
      </c>
      <c r="AX3" s="6">
        <v>38</v>
      </c>
      <c r="AY3" s="6">
        <v>39</v>
      </c>
      <c r="AZ3" s="6">
        <v>40</v>
      </c>
    </row>
    <row r="4" spans="2:52" ht="15">
      <c r="B4" s="7" t="s">
        <v>17</v>
      </c>
      <c r="C4" s="8" t="s">
        <v>18</v>
      </c>
      <c r="D4" s="8" t="s">
        <v>19</v>
      </c>
      <c r="E4" s="8"/>
      <c r="F4" s="8"/>
      <c r="G4" s="8"/>
      <c r="H4" s="9"/>
      <c r="I4" s="10"/>
      <c r="J4" s="160" t="s">
        <v>152</v>
      </c>
      <c r="K4" s="160" t="s">
        <v>151</v>
      </c>
      <c r="L4" s="9" t="s">
        <v>24</v>
      </c>
      <c r="M4" s="12" t="s">
        <v>25</v>
      </c>
      <c r="N4" s="12" t="s">
        <v>26</v>
      </c>
      <c r="O4" s="12" t="s">
        <v>27</v>
      </c>
      <c r="P4" s="12" t="s">
        <v>28</v>
      </c>
      <c r="Q4" s="12" t="s">
        <v>29</v>
      </c>
      <c r="R4" s="12" t="s">
        <v>30</v>
      </c>
      <c r="S4" s="12" t="s">
        <v>31</v>
      </c>
      <c r="T4" s="12" t="s">
        <v>32</v>
      </c>
      <c r="U4" s="12" t="s">
        <v>33</v>
      </c>
      <c r="V4" s="12" t="s">
        <v>34</v>
      </c>
      <c r="W4" s="12" t="s">
        <v>35</v>
      </c>
      <c r="X4" s="12" t="s">
        <v>36</v>
      </c>
      <c r="Y4" s="12" t="s">
        <v>37</v>
      </c>
      <c r="Z4" s="12" t="s">
        <v>38</v>
      </c>
      <c r="AA4" s="12" t="s">
        <v>39</v>
      </c>
      <c r="AB4" s="12" t="s">
        <v>40</v>
      </c>
      <c r="AC4" s="12" t="s">
        <v>41</v>
      </c>
      <c r="AD4" s="12" t="s">
        <v>42</v>
      </c>
      <c r="AE4" s="12" t="s">
        <v>43</v>
      </c>
      <c r="AF4" s="12" t="s">
        <v>44</v>
      </c>
      <c r="AG4" s="12" t="s">
        <v>45</v>
      </c>
      <c r="AH4" s="12" t="s">
        <v>46</v>
      </c>
      <c r="AI4" s="12" t="s">
        <v>47</v>
      </c>
      <c r="AJ4" s="12" t="s">
        <v>48</v>
      </c>
      <c r="AK4" s="12" t="s">
        <v>49</v>
      </c>
      <c r="AL4" s="12" t="s">
        <v>50</v>
      </c>
      <c r="AM4" s="12" t="s">
        <v>51</v>
      </c>
      <c r="AN4" s="12" t="s">
        <v>52</v>
      </c>
      <c r="AO4" s="12" t="s">
        <v>53</v>
      </c>
      <c r="AP4" s="12" t="s">
        <v>54</v>
      </c>
      <c r="AQ4" s="12" t="s">
        <v>55</v>
      </c>
      <c r="AR4" s="12" t="s">
        <v>56</v>
      </c>
      <c r="AS4" s="12" t="s">
        <v>57</v>
      </c>
      <c r="AT4" s="12" t="s">
        <v>58</v>
      </c>
      <c r="AU4" s="12" t="s">
        <v>59</v>
      </c>
      <c r="AV4" s="12" t="s">
        <v>60</v>
      </c>
      <c r="AW4" s="12" t="s">
        <v>61</v>
      </c>
      <c r="AX4" s="12" t="s">
        <v>62</v>
      </c>
      <c r="AY4" s="12" t="s">
        <v>63</v>
      </c>
      <c r="AZ4" s="13" t="s">
        <v>64</v>
      </c>
    </row>
    <row r="5" spans="2:12" ht="15">
      <c r="B5" s="72" t="s">
        <v>65</v>
      </c>
      <c r="H5" s="15"/>
      <c r="J5" s="28"/>
      <c r="K5" s="28"/>
      <c r="L5" s="15"/>
    </row>
    <row r="6" spans="2:52" ht="15">
      <c r="B6" s="213"/>
      <c r="C6" s="214"/>
      <c r="D6" s="214"/>
      <c r="E6" s="215"/>
      <c r="F6" s="216"/>
      <c r="G6" s="208"/>
      <c r="H6" s="209"/>
      <c r="I6" s="217"/>
      <c r="J6" s="232"/>
      <c r="K6" s="210"/>
      <c r="L6" s="211"/>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row>
    <row r="7" spans="2:52" ht="15">
      <c r="B7" s="276" t="s">
        <v>538</v>
      </c>
      <c r="C7" s="277"/>
      <c r="D7" s="277"/>
      <c r="E7" s="278"/>
      <c r="F7" s="291" t="s">
        <v>560</v>
      </c>
      <c r="G7" s="279"/>
      <c r="H7" s="280"/>
      <c r="I7" s="281"/>
      <c r="J7" s="282"/>
      <c r="K7" s="283"/>
      <c r="L7" s="284"/>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row>
    <row r="8" spans="2:52" ht="15">
      <c r="B8" s="276"/>
      <c r="C8" s="277" t="s">
        <v>553</v>
      </c>
      <c r="D8" s="277" t="s">
        <v>71</v>
      </c>
      <c r="E8" s="289">
        <f>VLOOKUP($D$85,'Look-ups_2'!$B$118:$I$228,2,0)</f>
        <v>54.5</v>
      </c>
      <c r="F8" s="290">
        <f>E8*VLOOKUP('Green+Social Interface'!$I$38,'Look-ups'!$A$15:$B$43,2,0)</f>
        <v>57.77</v>
      </c>
      <c r="G8" s="279"/>
      <c r="H8" s="280"/>
      <c r="I8" s="281"/>
      <c r="J8" s="282">
        <f aca="true" t="shared" si="0" ref="J8:J15">IF(AND(K8&gt;0,$D$72&gt;0),K8/$D$72,0)</f>
        <v>0</v>
      </c>
      <c r="K8" s="283">
        <f>AVERAGE(M8:AZ8)</f>
        <v>0</v>
      </c>
      <c r="L8" s="284">
        <f>SUM(M8:AZ8)</f>
        <v>0</v>
      </c>
      <c r="M8" s="285">
        <f>$F$8*'Green+Social Interface'!$U$70</f>
        <v>0</v>
      </c>
      <c r="N8" s="285">
        <f aca="true" t="shared" si="1" ref="N8:AZ8">M8*(1+$D$74)</f>
        <v>0</v>
      </c>
      <c r="O8" s="285">
        <f t="shared" si="1"/>
        <v>0</v>
      </c>
      <c r="P8" s="285">
        <f t="shared" si="1"/>
        <v>0</v>
      </c>
      <c r="Q8" s="285">
        <f t="shared" si="1"/>
        <v>0</v>
      </c>
      <c r="R8" s="285">
        <f t="shared" si="1"/>
        <v>0</v>
      </c>
      <c r="S8" s="285">
        <f t="shared" si="1"/>
        <v>0</v>
      </c>
      <c r="T8" s="285">
        <f t="shared" si="1"/>
        <v>0</v>
      </c>
      <c r="U8" s="285">
        <f t="shared" si="1"/>
        <v>0</v>
      </c>
      <c r="V8" s="285">
        <f t="shared" si="1"/>
        <v>0</v>
      </c>
      <c r="W8" s="285">
        <f t="shared" si="1"/>
        <v>0</v>
      </c>
      <c r="X8" s="285">
        <f t="shared" si="1"/>
        <v>0</v>
      </c>
      <c r="Y8" s="285">
        <f t="shared" si="1"/>
        <v>0</v>
      </c>
      <c r="Z8" s="285">
        <f t="shared" si="1"/>
        <v>0</v>
      </c>
      <c r="AA8" s="285">
        <f t="shared" si="1"/>
        <v>0</v>
      </c>
      <c r="AB8" s="285">
        <f t="shared" si="1"/>
        <v>0</v>
      </c>
      <c r="AC8" s="285">
        <f t="shared" si="1"/>
        <v>0</v>
      </c>
      <c r="AD8" s="285">
        <f t="shared" si="1"/>
        <v>0</v>
      </c>
      <c r="AE8" s="285">
        <f t="shared" si="1"/>
        <v>0</v>
      </c>
      <c r="AF8" s="285">
        <f t="shared" si="1"/>
        <v>0</v>
      </c>
      <c r="AG8" s="285">
        <f t="shared" si="1"/>
        <v>0</v>
      </c>
      <c r="AH8" s="285">
        <f t="shared" si="1"/>
        <v>0</v>
      </c>
      <c r="AI8" s="285">
        <f t="shared" si="1"/>
        <v>0</v>
      </c>
      <c r="AJ8" s="285">
        <f t="shared" si="1"/>
        <v>0</v>
      </c>
      <c r="AK8" s="285">
        <f t="shared" si="1"/>
        <v>0</v>
      </c>
      <c r="AL8" s="285">
        <f t="shared" si="1"/>
        <v>0</v>
      </c>
      <c r="AM8" s="285">
        <f t="shared" si="1"/>
        <v>0</v>
      </c>
      <c r="AN8" s="285">
        <f t="shared" si="1"/>
        <v>0</v>
      </c>
      <c r="AO8" s="285">
        <f t="shared" si="1"/>
        <v>0</v>
      </c>
      <c r="AP8" s="285">
        <f t="shared" si="1"/>
        <v>0</v>
      </c>
      <c r="AQ8" s="285">
        <f t="shared" si="1"/>
        <v>0</v>
      </c>
      <c r="AR8" s="285">
        <f t="shared" si="1"/>
        <v>0</v>
      </c>
      <c r="AS8" s="285">
        <f t="shared" si="1"/>
        <v>0</v>
      </c>
      <c r="AT8" s="285">
        <f t="shared" si="1"/>
        <v>0</v>
      </c>
      <c r="AU8" s="285">
        <f t="shared" si="1"/>
        <v>0</v>
      </c>
      <c r="AV8" s="285">
        <f t="shared" si="1"/>
        <v>0</v>
      </c>
      <c r="AW8" s="285">
        <f t="shared" si="1"/>
        <v>0</v>
      </c>
      <c r="AX8" s="285">
        <f t="shared" si="1"/>
        <v>0</v>
      </c>
      <c r="AY8" s="285">
        <f t="shared" si="1"/>
        <v>0</v>
      </c>
      <c r="AZ8" s="285">
        <f t="shared" si="1"/>
        <v>0</v>
      </c>
    </row>
    <row r="9" spans="2:52" ht="15">
      <c r="B9" s="276"/>
      <c r="C9" s="277" t="s">
        <v>554</v>
      </c>
      <c r="D9" s="277" t="s">
        <v>71</v>
      </c>
      <c r="E9" s="289">
        <f>VLOOKUP($D$85,'Look-ups_2'!$B$118:$I$228,3,0)</f>
        <v>0</v>
      </c>
      <c r="F9" s="290">
        <f>E9*VLOOKUP('Green+Social Interface'!$I$38,'Look-ups'!$A$15:$B$43,2,0)</f>
        <v>0</v>
      </c>
      <c r="G9" s="279"/>
      <c r="H9" s="280"/>
      <c r="I9" s="281"/>
      <c r="J9" s="282">
        <f t="shared" si="0"/>
        <v>0</v>
      </c>
      <c r="K9" s="283">
        <f aca="true" t="shared" si="2" ref="K9:K15">AVERAGE(M9:AZ9)</f>
        <v>0</v>
      </c>
      <c r="L9" s="284">
        <f aca="true" t="shared" si="3" ref="L9:L15">SUM(M9:AZ9)</f>
        <v>0</v>
      </c>
      <c r="M9" s="285">
        <f>$F$9*'Green+Social Interface'!$U$62</f>
        <v>0</v>
      </c>
      <c r="N9" s="285">
        <f aca="true" t="shared" si="4" ref="N9:AZ9">M9*(1+$D$74)</f>
        <v>0</v>
      </c>
      <c r="O9" s="285">
        <f t="shared" si="4"/>
        <v>0</v>
      </c>
      <c r="P9" s="285">
        <f t="shared" si="4"/>
        <v>0</v>
      </c>
      <c r="Q9" s="285">
        <f t="shared" si="4"/>
        <v>0</v>
      </c>
      <c r="R9" s="285">
        <f t="shared" si="4"/>
        <v>0</v>
      </c>
      <c r="S9" s="285">
        <f t="shared" si="4"/>
        <v>0</v>
      </c>
      <c r="T9" s="285">
        <f t="shared" si="4"/>
        <v>0</v>
      </c>
      <c r="U9" s="285">
        <f t="shared" si="4"/>
        <v>0</v>
      </c>
      <c r="V9" s="285">
        <f t="shared" si="4"/>
        <v>0</v>
      </c>
      <c r="W9" s="285">
        <f t="shared" si="4"/>
        <v>0</v>
      </c>
      <c r="X9" s="285">
        <f t="shared" si="4"/>
        <v>0</v>
      </c>
      <c r="Y9" s="285">
        <f t="shared" si="4"/>
        <v>0</v>
      </c>
      <c r="Z9" s="285">
        <f t="shared" si="4"/>
        <v>0</v>
      </c>
      <c r="AA9" s="285">
        <f t="shared" si="4"/>
        <v>0</v>
      </c>
      <c r="AB9" s="285">
        <f t="shared" si="4"/>
        <v>0</v>
      </c>
      <c r="AC9" s="285">
        <f t="shared" si="4"/>
        <v>0</v>
      </c>
      <c r="AD9" s="285">
        <f t="shared" si="4"/>
        <v>0</v>
      </c>
      <c r="AE9" s="285">
        <f t="shared" si="4"/>
        <v>0</v>
      </c>
      <c r="AF9" s="285">
        <f t="shared" si="4"/>
        <v>0</v>
      </c>
      <c r="AG9" s="285">
        <f t="shared" si="4"/>
        <v>0</v>
      </c>
      <c r="AH9" s="285">
        <f t="shared" si="4"/>
        <v>0</v>
      </c>
      <c r="AI9" s="285">
        <f t="shared" si="4"/>
        <v>0</v>
      </c>
      <c r="AJ9" s="285">
        <f t="shared" si="4"/>
        <v>0</v>
      </c>
      <c r="AK9" s="285">
        <f t="shared" si="4"/>
        <v>0</v>
      </c>
      <c r="AL9" s="285">
        <f t="shared" si="4"/>
        <v>0</v>
      </c>
      <c r="AM9" s="285">
        <f t="shared" si="4"/>
        <v>0</v>
      </c>
      <c r="AN9" s="285">
        <f t="shared" si="4"/>
        <v>0</v>
      </c>
      <c r="AO9" s="285">
        <f t="shared" si="4"/>
        <v>0</v>
      </c>
      <c r="AP9" s="285">
        <f t="shared" si="4"/>
        <v>0</v>
      </c>
      <c r="AQ9" s="285">
        <f t="shared" si="4"/>
        <v>0</v>
      </c>
      <c r="AR9" s="285">
        <f t="shared" si="4"/>
        <v>0</v>
      </c>
      <c r="AS9" s="285">
        <f t="shared" si="4"/>
        <v>0</v>
      </c>
      <c r="AT9" s="285">
        <f t="shared" si="4"/>
        <v>0</v>
      </c>
      <c r="AU9" s="285">
        <f t="shared" si="4"/>
        <v>0</v>
      </c>
      <c r="AV9" s="285">
        <f t="shared" si="4"/>
        <v>0</v>
      </c>
      <c r="AW9" s="285">
        <f t="shared" si="4"/>
        <v>0</v>
      </c>
      <c r="AX9" s="285">
        <f t="shared" si="4"/>
        <v>0</v>
      </c>
      <c r="AY9" s="285">
        <f t="shared" si="4"/>
        <v>0</v>
      </c>
      <c r="AZ9" s="285">
        <f t="shared" si="4"/>
        <v>0</v>
      </c>
    </row>
    <row r="10" spans="2:52" ht="15">
      <c r="B10" s="276"/>
      <c r="C10" s="277" t="s">
        <v>555</v>
      </c>
      <c r="D10" s="277" t="s">
        <v>71</v>
      </c>
      <c r="E10" s="289">
        <f>VLOOKUP($D$85,'Look-ups_2'!$B$118:$I$228,4,0)</f>
        <v>51.68</v>
      </c>
      <c r="F10" s="290">
        <f>E10*VLOOKUP('Green+Social Interface'!$I$38,'Look-ups'!$A$15:$B$43,2,0)</f>
        <v>54.7808</v>
      </c>
      <c r="G10" s="279"/>
      <c r="H10" s="280"/>
      <c r="I10" s="281"/>
      <c r="J10" s="282">
        <f t="shared" si="0"/>
        <v>0</v>
      </c>
      <c r="K10" s="283">
        <f t="shared" si="2"/>
        <v>1938.492047479538</v>
      </c>
      <c r="L10" s="284">
        <f t="shared" si="3"/>
        <v>77539.68189918152</v>
      </c>
      <c r="M10" s="285">
        <f>$F$10*$D$86</f>
        <v>1150.3968</v>
      </c>
      <c r="N10" s="285">
        <f aca="true" t="shared" si="5" ref="N10:AZ10">M10*(1+$D$74)</f>
        <v>1179.15672</v>
      </c>
      <c r="O10" s="285">
        <f t="shared" si="5"/>
        <v>1208.6356379999997</v>
      </c>
      <c r="P10" s="285">
        <f t="shared" si="5"/>
        <v>1238.8515289499996</v>
      </c>
      <c r="Q10" s="285">
        <f t="shared" si="5"/>
        <v>1269.8228171737496</v>
      </c>
      <c r="R10" s="285">
        <f t="shared" si="5"/>
        <v>1301.5683876030932</v>
      </c>
      <c r="S10" s="285">
        <f t="shared" si="5"/>
        <v>1334.1075972931706</v>
      </c>
      <c r="T10" s="285">
        <f t="shared" si="5"/>
        <v>1367.4602872254998</v>
      </c>
      <c r="U10" s="285">
        <f t="shared" si="5"/>
        <v>1401.6467944061371</v>
      </c>
      <c r="V10" s="285">
        <f t="shared" si="5"/>
        <v>1436.6879642662905</v>
      </c>
      <c r="W10" s="285">
        <f t="shared" si="5"/>
        <v>1472.6051633729476</v>
      </c>
      <c r="X10" s="285">
        <f t="shared" si="5"/>
        <v>1509.4202924572712</v>
      </c>
      <c r="Y10" s="285">
        <f t="shared" si="5"/>
        <v>1547.1557997687028</v>
      </c>
      <c r="Z10" s="285">
        <f t="shared" si="5"/>
        <v>1585.8346947629202</v>
      </c>
      <c r="AA10" s="285">
        <f t="shared" si="5"/>
        <v>1625.480562131993</v>
      </c>
      <c r="AB10" s="285">
        <f t="shared" si="5"/>
        <v>1666.1175761852928</v>
      </c>
      <c r="AC10" s="285">
        <f t="shared" si="5"/>
        <v>1707.770515589925</v>
      </c>
      <c r="AD10" s="285">
        <f t="shared" si="5"/>
        <v>1750.464778479673</v>
      </c>
      <c r="AE10" s="285">
        <f t="shared" si="5"/>
        <v>1794.2263979416646</v>
      </c>
      <c r="AF10" s="285">
        <f t="shared" si="5"/>
        <v>1839.082057890206</v>
      </c>
      <c r="AG10" s="285">
        <f t="shared" si="5"/>
        <v>1885.059109337461</v>
      </c>
      <c r="AH10" s="285">
        <f t="shared" si="5"/>
        <v>1932.1855870708973</v>
      </c>
      <c r="AI10" s="285">
        <f t="shared" si="5"/>
        <v>1980.4902267476696</v>
      </c>
      <c r="AJ10" s="285">
        <f t="shared" si="5"/>
        <v>2030.002482416361</v>
      </c>
      <c r="AK10" s="285">
        <f t="shared" si="5"/>
        <v>2080.75254447677</v>
      </c>
      <c r="AL10" s="285">
        <f t="shared" si="5"/>
        <v>2132.771358088689</v>
      </c>
      <c r="AM10" s="285">
        <f t="shared" si="5"/>
        <v>2186.090642040906</v>
      </c>
      <c r="AN10" s="285">
        <f t="shared" si="5"/>
        <v>2240.7429080919283</v>
      </c>
      <c r="AO10" s="285">
        <f t="shared" si="5"/>
        <v>2296.7614807942264</v>
      </c>
      <c r="AP10" s="285">
        <f t="shared" si="5"/>
        <v>2354.1805178140817</v>
      </c>
      <c r="AQ10" s="285">
        <f t="shared" si="5"/>
        <v>2413.0350307594335</v>
      </c>
      <c r="AR10" s="285">
        <f t="shared" si="5"/>
        <v>2473.360906528419</v>
      </c>
      <c r="AS10" s="285">
        <f t="shared" si="5"/>
        <v>2535.1949291916294</v>
      </c>
      <c r="AT10" s="285">
        <f t="shared" si="5"/>
        <v>2598.57480242142</v>
      </c>
      <c r="AU10" s="285">
        <f t="shared" si="5"/>
        <v>2663.539172481955</v>
      </c>
      <c r="AV10" s="285">
        <f t="shared" si="5"/>
        <v>2730.1276517940037</v>
      </c>
      <c r="AW10" s="285">
        <f t="shared" si="5"/>
        <v>2798.3808430888535</v>
      </c>
      <c r="AX10" s="285">
        <f t="shared" si="5"/>
        <v>2868.3403641660743</v>
      </c>
      <c r="AY10" s="285">
        <f t="shared" si="5"/>
        <v>2940.048873270226</v>
      </c>
      <c r="AZ10" s="285">
        <f t="shared" si="5"/>
        <v>3013.5500951019812</v>
      </c>
    </row>
    <row r="11" spans="2:52" ht="15">
      <c r="B11" s="276"/>
      <c r="C11" s="277" t="s">
        <v>556</v>
      </c>
      <c r="D11" s="277" t="s">
        <v>71</v>
      </c>
      <c r="E11" s="289">
        <f>VLOOKUP($D$85,'Look-ups_2'!$B$118:$I$228,5,0)</f>
        <v>23.7</v>
      </c>
      <c r="F11" s="290">
        <f>E11*VLOOKUP('Green+Social Interface'!$I$38,'Look-ups'!$A$15:$B$43,2,0)</f>
        <v>25.122</v>
      </c>
      <c r="G11" s="279"/>
      <c r="H11" s="280"/>
      <c r="I11" s="281"/>
      <c r="J11" s="282">
        <f t="shared" si="0"/>
        <v>0</v>
      </c>
      <c r="K11" s="283">
        <f t="shared" si="2"/>
        <v>0</v>
      </c>
      <c r="L11" s="284">
        <f t="shared" si="3"/>
        <v>0</v>
      </c>
      <c r="M11" s="285">
        <f>$F$11*'Green+Social Interface'!$U$73</f>
        <v>0</v>
      </c>
      <c r="N11" s="285">
        <f aca="true" t="shared" si="6" ref="N11:AZ11">M11*(1+$D$74)</f>
        <v>0</v>
      </c>
      <c r="O11" s="285">
        <f t="shared" si="6"/>
        <v>0</v>
      </c>
      <c r="P11" s="285">
        <f t="shared" si="6"/>
        <v>0</v>
      </c>
      <c r="Q11" s="285">
        <f t="shared" si="6"/>
        <v>0</v>
      </c>
      <c r="R11" s="285">
        <f t="shared" si="6"/>
        <v>0</v>
      </c>
      <c r="S11" s="285">
        <f t="shared" si="6"/>
        <v>0</v>
      </c>
      <c r="T11" s="285">
        <f t="shared" si="6"/>
        <v>0</v>
      </c>
      <c r="U11" s="285">
        <f t="shared" si="6"/>
        <v>0</v>
      </c>
      <c r="V11" s="285">
        <f t="shared" si="6"/>
        <v>0</v>
      </c>
      <c r="W11" s="285">
        <f t="shared" si="6"/>
        <v>0</v>
      </c>
      <c r="X11" s="285">
        <f t="shared" si="6"/>
        <v>0</v>
      </c>
      <c r="Y11" s="285">
        <f t="shared" si="6"/>
        <v>0</v>
      </c>
      <c r="Z11" s="285">
        <f t="shared" si="6"/>
        <v>0</v>
      </c>
      <c r="AA11" s="285">
        <f t="shared" si="6"/>
        <v>0</v>
      </c>
      <c r="AB11" s="285">
        <f t="shared" si="6"/>
        <v>0</v>
      </c>
      <c r="AC11" s="285">
        <f t="shared" si="6"/>
        <v>0</v>
      </c>
      <c r="AD11" s="285">
        <f t="shared" si="6"/>
        <v>0</v>
      </c>
      <c r="AE11" s="285">
        <f t="shared" si="6"/>
        <v>0</v>
      </c>
      <c r="AF11" s="285">
        <f t="shared" si="6"/>
        <v>0</v>
      </c>
      <c r="AG11" s="285">
        <f t="shared" si="6"/>
        <v>0</v>
      </c>
      <c r="AH11" s="285">
        <f t="shared" si="6"/>
        <v>0</v>
      </c>
      <c r="AI11" s="285">
        <f t="shared" si="6"/>
        <v>0</v>
      </c>
      <c r="AJ11" s="285">
        <f t="shared" si="6"/>
        <v>0</v>
      </c>
      <c r="AK11" s="285">
        <f t="shared" si="6"/>
        <v>0</v>
      </c>
      <c r="AL11" s="285">
        <f t="shared" si="6"/>
        <v>0</v>
      </c>
      <c r="AM11" s="285">
        <f t="shared" si="6"/>
        <v>0</v>
      </c>
      <c r="AN11" s="285">
        <f t="shared" si="6"/>
        <v>0</v>
      </c>
      <c r="AO11" s="285">
        <f t="shared" si="6"/>
        <v>0</v>
      </c>
      <c r="AP11" s="285">
        <f t="shared" si="6"/>
        <v>0</v>
      </c>
      <c r="AQ11" s="285">
        <f t="shared" si="6"/>
        <v>0</v>
      </c>
      <c r="AR11" s="285">
        <f t="shared" si="6"/>
        <v>0</v>
      </c>
      <c r="AS11" s="285">
        <f t="shared" si="6"/>
        <v>0</v>
      </c>
      <c r="AT11" s="285">
        <f t="shared" si="6"/>
        <v>0</v>
      </c>
      <c r="AU11" s="285">
        <f t="shared" si="6"/>
        <v>0</v>
      </c>
      <c r="AV11" s="285">
        <f t="shared" si="6"/>
        <v>0</v>
      </c>
      <c r="AW11" s="285">
        <f t="shared" si="6"/>
        <v>0</v>
      </c>
      <c r="AX11" s="285">
        <f t="shared" si="6"/>
        <v>0</v>
      </c>
      <c r="AY11" s="285">
        <f t="shared" si="6"/>
        <v>0</v>
      </c>
      <c r="AZ11" s="285">
        <f t="shared" si="6"/>
        <v>0</v>
      </c>
    </row>
    <row r="12" spans="2:52" ht="15">
      <c r="B12" s="276"/>
      <c r="C12" s="277" t="s">
        <v>557</v>
      </c>
      <c r="D12" s="277" t="s">
        <v>71</v>
      </c>
      <c r="E12" s="289">
        <f>VLOOKUP($D$85,'Look-ups_2'!$B$118:$I$228,6,0)</f>
        <v>14.85</v>
      </c>
      <c r="F12" s="290">
        <f>E12*VLOOKUP('Green+Social Interface'!$I$38,'Look-ups'!$A$15:$B$43,2,0)</f>
        <v>15.741</v>
      </c>
      <c r="G12" s="279"/>
      <c r="H12" s="280"/>
      <c r="I12" s="281"/>
      <c r="J12" s="282">
        <f t="shared" si="0"/>
        <v>0</v>
      </c>
      <c r="K12" s="283">
        <f t="shared" si="2"/>
        <v>0</v>
      </c>
      <c r="L12" s="284">
        <f t="shared" si="3"/>
        <v>0</v>
      </c>
      <c r="M12" s="285">
        <f>$F$12*'Green+Social Interface'!$U$74</f>
        <v>0</v>
      </c>
      <c r="N12" s="285">
        <f aca="true" t="shared" si="7" ref="N12:AZ12">M12*(1+$D$74)</f>
        <v>0</v>
      </c>
      <c r="O12" s="285">
        <f t="shared" si="7"/>
        <v>0</v>
      </c>
      <c r="P12" s="285">
        <f t="shared" si="7"/>
        <v>0</v>
      </c>
      <c r="Q12" s="285">
        <f t="shared" si="7"/>
        <v>0</v>
      </c>
      <c r="R12" s="285">
        <f t="shared" si="7"/>
        <v>0</v>
      </c>
      <c r="S12" s="285">
        <f t="shared" si="7"/>
        <v>0</v>
      </c>
      <c r="T12" s="285">
        <f t="shared" si="7"/>
        <v>0</v>
      </c>
      <c r="U12" s="285">
        <f t="shared" si="7"/>
        <v>0</v>
      </c>
      <c r="V12" s="285">
        <f t="shared" si="7"/>
        <v>0</v>
      </c>
      <c r="W12" s="285">
        <f t="shared" si="7"/>
        <v>0</v>
      </c>
      <c r="X12" s="285">
        <f t="shared" si="7"/>
        <v>0</v>
      </c>
      <c r="Y12" s="285">
        <f t="shared" si="7"/>
        <v>0</v>
      </c>
      <c r="Z12" s="285">
        <f t="shared" si="7"/>
        <v>0</v>
      </c>
      <c r="AA12" s="285">
        <f t="shared" si="7"/>
        <v>0</v>
      </c>
      <c r="AB12" s="285">
        <f t="shared" si="7"/>
        <v>0</v>
      </c>
      <c r="AC12" s="285">
        <f t="shared" si="7"/>
        <v>0</v>
      </c>
      <c r="AD12" s="285">
        <f t="shared" si="7"/>
        <v>0</v>
      </c>
      <c r="AE12" s="285">
        <f t="shared" si="7"/>
        <v>0</v>
      </c>
      <c r="AF12" s="285">
        <f t="shared" si="7"/>
        <v>0</v>
      </c>
      <c r="AG12" s="285">
        <f t="shared" si="7"/>
        <v>0</v>
      </c>
      <c r="AH12" s="285">
        <f t="shared" si="7"/>
        <v>0</v>
      </c>
      <c r="AI12" s="285">
        <f t="shared" si="7"/>
        <v>0</v>
      </c>
      <c r="AJ12" s="285">
        <f t="shared" si="7"/>
        <v>0</v>
      </c>
      <c r="AK12" s="285">
        <f t="shared" si="7"/>
        <v>0</v>
      </c>
      <c r="AL12" s="285">
        <f t="shared" si="7"/>
        <v>0</v>
      </c>
      <c r="AM12" s="285">
        <f t="shared" si="7"/>
        <v>0</v>
      </c>
      <c r="AN12" s="285">
        <f t="shared" si="7"/>
        <v>0</v>
      </c>
      <c r="AO12" s="285">
        <f t="shared" si="7"/>
        <v>0</v>
      </c>
      <c r="AP12" s="285">
        <f t="shared" si="7"/>
        <v>0</v>
      </c>
      <c r="AQ12" s="285">
        <f t="shared" si="7"/>
        <v>0</v>
      </c>
      <c r="AR12" s="285">
        <f t="shared" si="7"/>
        <v>0</v>
      </c>
      <c r="AS12" s="285">
        <f t="shared" si="7"/>
        <v>0</v>
      </c>
      <c r="AT12" s="285">
        <f t="shared" si="7"/>
        <v>0</v>
      </c>
      <c r="AU12" s="285">
        <f t="shared" si="7"/>
        <v>0</v>
      </c>
      <c r="AV12" s="285">
        <f t="shared" si="7"/>
        <v>0</v>
      </c>
      <c r="AW12" s="285">
        <f t="shared" si="7"/>
        <v>0</v>
      </c>
      <c r="AX12" s="285">
        <f t="shared" si="7"/>
        <v>0</v>
      </c>
      <c r="AY12" s="285">
        <f t="shared" si="7"/>
        <v>0</v>
      </c>
      <c r="AZ12" s="285">
        <f t="shared" si="7"/>
        <v>0</v>
      </c>
    </row>
    <row r="13" spans="2:52" ht="15">
      <c r="B13" s="276"/>
      <c r="C13" s="277" t="s">
        <v>558</v>
      </c>
      <c r="D13" s="277" t="s">
        <v>71</v>
      </c>
      <c r="E13" s="289">
        <f>VLOOKUP($D$85,'Look-ups_2'!$B$118:$I$228,7,0)</f>
        <v>0</v>
      </c>
      <c r="F13" s="290">
        <f>E13*VLOOKUP('Green+Social Interface'!$I$38,'Look-ups'!$A$15:$B$43,2,0)</f>
        <v>0</v>
      </c>
      <c r="G13" s="279"/>
      <c r="H13" s="280"/>
      <c r="I13" s="281"/>
      <c r="J13" s="282">
        <f t="shared" si="0"/>
        <v>0</v>
      </c>
      <c r="K13" s="283">
        <f t="shared" si="2"/>
        <v>0</v>
      </c>
      <c r="L13" s="284">
        <f t="shared" si="3"/>
        <v>0</v>
      </c>
      <c r="M13" s="285">
        <f>$F$13*'Green+Social Interface'!$U$65</f>
        <v>0</v>
      </c>
      <c r="N13" s="285">
        <f aca="true" t="shared" si="8" ref="N13:AZ13">M13*(1+$D$74)</f>
        <v>0</v>
      </c>
      <c r="O13" s="285">
        <f t="shared" si="8"/>
        <v>0</v>
      </c>
      <c r="P13" s="285">
        <f t="shared" si="8"/>
        <v>0</v>
      </c>
      <c r="Q13" s="285">
        <f t="shared" si="8"/>
        <v>0</v>
      </c>
      <c r="R13" s="285">
        <f t="shared" si="8"/>
        <v>0</v>
      </c>
      <c r="S13" s="285">
        <f t="shared" si="8"/>
        <v>0</v>
      </c>
      <c r="T13" s="285">
        <f t="shared" si="8"/>
        <v>0</v>
      </c>
      <c r="U13" s="285">
        <f t="shared" si="8"/>
        <v>0</v>
      </c>
      <c r="V13" s="285">
        <f t="shared" si="8"/>
        <v>0</v>
      </c>
      <c r="W13" s="285">
        <f t="shared" si="8"/>
        <v>0</v>
      </c>
      <c r="X13" s="285">
        <f t="shared" si="8"/>
        <v>0</v>
      </c>
      <c r="Y13" s="285">
        <f t="shared" si="8"/>
        <v>0</v>
      </c>
      <c r="Z13" s="285">
        <f t="shared" si="8"/>
        <v>0</v>
      </c>
      <c r="AA13" s="285">
        <f t="shared" si="8"/>
        <v>0</v>
      </c>
      <c r="AB13" s="285">
        <f t="shared" si="8"/>
        <v>0</v>
      </c>
      <c r="AC13" s="285">
        <f t="shared" si="8"/>
        <v>0</v>
      </c>
      <c r="AD13" s="285">
        <f t="shared" si="8"/>
        <v>0</v>
      </c>
      <c r="AE13" s="285">
        <f t="shared" si="8"/>
        <v>0</v>
      </c>
      <c r="AF13" s="285">
        <f t="shared" si="8"/>
        <v>0</v>
      </c>
      <c r="AG13" s="285">
        <f t="shared" si="8"/>
        <v>0</v>
      </c>
      <c r="AH13" s="285">
        <f t="shared" si="8"/>
        <v>0</v>
      </c>
      <c r="AI13" s="285">
        <f t="shared" si="8"/>
        <v>0</v>
      </c>
      <c r="AJ13" s="285">
        <f t="shared" si="8"/>
        <v>0</v>
      </c>
      <c r="AK13" s="285">
        <f t="shared" si="8"/>
        <v>0</v>
      </c>
      <c r="AL13" s="285">
        <f t="shared" si="8"/>
        <v>0</v>
      </c>
      <c r="AM13" s="285">
        <f t="shared" si="8"/>
        <v>0</v>
      </c>
      <c r="AN13" s="285">
        <f t="shared" si="8"/>
        <v>0</v>
      </c>
      <c r="AO13" s="285">
        <f t="shared" si="8"/>
        <v>0</v>
      </c>
      <c r="AP13" s="285">
        <f t="shared" si="8"/>
        <v>0</v>
      </c>
      <c r="AQ13" s="285">
        <f t="shared" si="8"/>
        <v>0</v>
      </c>
      <c r="AR13" s="285">
        <f t="shared" si="8"/>
        <v>0</v>
      </c>
      <c r="AS13" s="285">
        <f t="shared" si="8"/>
        <v>0</v>
      </c>
      <c r="AT13" s="285">
        <f t="shared" si="8"/>
        <v>0</v>
      </c>
      <c r="AU13" s="285">
        <f t="shared" si="8"/>
        <v>0</v>
      </c>
      <c r="AV13" s="285">
        <f t="shared" si="8"/>
        <v>0</v>
      </c>
      <c r="AW13" s="285">
        <f t="shared" si="8"/>
        <v>0</v>
      </c>
      <c r="AX13" s="285">
        <f t="shared" si="8"/>
        <v>0</v>
      </c>
      <c r="AY13" s="285">
        <f t="shared" si="8"/>
        <v>0</v>
      </c>
      <c r="AZ13" s="285">
        <f t="shared" si="8"/>
        <v>0</v>
      </c>
    </row>
    <row r="14" spans="2:52" ht="15">
      <c r="B14" s="276"/>
      <c r="C14" s="277" t="s">
        <v>559</v>
      </c>
      <c r="D14" s="277" t="s">
        <v>71</v>
      </c>
      <c r="E14" s="289">
        <f>VLOOKUP($D$85,'Look-ups_2'!$B$118:$I$228,8,0)</f>
        <v>20.55</v>
      </c>
      <c r="F14" s="290">
        <f>E14*VLOOKUP('Green+Social Interface'!$I$38,'Look-ups'!$A$15:$B$43,2,0)</f>
        <v>21.783</v>
      </c>
      <c r="G14" s="279"/>
      <c r="H14" s="280"/>
      <c r="I14" s="281"/>
      <c r="J14" s="282">
        <f t="shared" si="0"/>
        <v>0</v>
      </c>
      <c r="K14" s="283">
        <f t="shared" si="2"/>
        <v>0</v>
      </c>
      <c r="L14" s="284">
        <f t="shared" si="3"/>
        <v>0</v>
      </c>
      <c r="M14" s="285">
        <f>$F$14*'Green+Social Interface'!$U$66</f>
        <v>0</v>
      </c>
      <c r="N14" s="285">
        <f aca="true" t="shared" si="9" ref="N14:AZ14">M14*(1+$D$74)</f>
        <v>0</v>
      </c>
      <c r="O14" s="285">
        <f t="shared" si="9"/>
        <v>0</v>
      </c>
      <c r="P14" s="285">
        <f t="shared" si="9"/>
        <v>0</v>
      </c>
      <c r="Q14" s="285">
        <f t="shared" si="9"/>
        <v>0</v>
      </c>
      <c r="R14" s="285">
        <f t="shared" si="9"/>
        <v>0</v>
      </c>
      <c r="S14" s="285">
        <f t="shared" si="9"/>
        <v>0</v>
      </c>
      <c r="T14" s="285">
        <f t="shared" si="9"/>
        <v>0</v>
      </c>
      <c r="U14" s="285">
        <f t="shared" si="9"/>
        <v>0</v>
      </c>
      <c r="V14" s="285">
        <f t="shared" si="9"/>
        <v>0</v>
      </c>
      <c r="W14" s="285">
        <f t="shared" si="9"/>
        <v>0</v>
      </c>
      <c r="X14" s="285">
        <f t="shared" si="9"/>
        <v>0</v>
      </c>
      <c r="Y14" s="285">
        <f t="shared" si="9"/>
        <v>0</v>
      </c>
      <c r="Z14" s="285">
        <f t="shared" si="9"/>
        <v>0</v>
      </c>
      <c r="AA14" s="285">
        <f t="shared" si="9"/>
        <v>0</v>
      </c>
      <c r="AB14" s="285">
        <f t="shared" si="9"/>
        <v>0</v>
      </c>
      <c r="AC14" s="285">
        <f t="shared" si="9"/>
        <v>0</v>
      </c>
      <c r="AD14" s="285">
        <f t="shared" si="9"/>
        <v>0</v>
      </c>
      <c r="AE14" s="285">
        <f t="shared" si="9"/>
        <v>0</v>
      </c>
      <c r="AF14" s="285">
        <f t="shared" si="9"/>
        <v>0</v>
      </c>
      <c r="AG14" s="285">
        <f t="shared" si="9"/>
        <v>0</v>
      </c>
      <c r="AH14" s="285">
        <f t="shared" si="9"/>
        <v>0</v>
      </c>
      <c r="AI14" s="285">
        <f t="shared" si="9"/>
        <v>0</v>
      </c>
      <c r="AJ14" s="285">
        <f t="shared" si="9"/>
        <v>0</v>
      </c>
      <c r="AK14" s="285">
        <f t="shared" si="9"/>
        <v>0</v>
      </c>
      <c r="AL14" s="285">
        <f t="shared" si="9"/>
        <v>0</v>
      </c>
      <c r="AM14" s="285">
        <f t="shared" si="9"/>
        <v>0</v>
      </c>
      <c r="AN14" s="285">
        <f t="shared" si="9"/>
        <v>0</v>
      </c>
      <c r="AO14" s="285">
        <f t="shared" si="9"/>
        <v>0</v>
      </c>
      <c r="AP14" s="285">
        <f t="shared" si="9"/>
        <v>0</v>
      </c>
      <c r="AQ14" s="285">
        <f t="shared" si="9"/>
        <v>0</v>
      </c>
      <c r="AR14" s="285">
        <f t="shared" si="9"/>
        <v>0</v>
      </c>
      <c r="AS14" s="285">
        <f t="shared" si="9"/>
        <v>0</v>
      </c>
      <c r="AT14" s="285">
        <f t="shared" si="9"/>
        <v>0</v>
      </c>
      <c r="AU14" s="285">
        <f t="shared" si="9"/>
        <v>0</v>
      </c>
      <c r="AV14" s="285">
        <f t="shared" si="9"/>
        <v>0</v>
      </c>
      <c r="AW14" s="285">
        <f t="shared" si="9"/>
        <v>0</v>
      </c>
      <c r="AX14" s="285">
        <f t="shared" si="9"/>
        <v>0</v>
      </c>
      <c r="AY14" s="285">
        <f t="shared" si="9"/>
        <v>0</v>
      </c>
      <c r="AZ14" s="285">
        <f t="shared" si="9"/>
        <v>0</v>
      </c>
    </row>
    <row r="15" spans="2:52" ht="15">
      <c r="B15" s="292" t="s">
        <v>570</v>
      </c>
      <c r="C15" s="277"/>
      <c r="D15" s="277"/>
      <c r="E15" s="289"/>
      <c r="F15" s="290"/>
      <c r="G15" s="279"/>
      <c r="H15" s="280"/>
      <c r="I15" s="281"/>
      <c r="J15" s="282">
        <f t="shared" si="0"/>
        <v>0</v>
      </c>
      <c r="K15" s="283">
        <f t="shared" si="2"/>
        <v>0</v>
      </c>
      <c r="L15" s="284">
        <f t="shared" si="3"/>
        <v>0</v>
      </c>
      <c r="M15" s="285">
        <f>IF(OR('Green+Social Interface'!$D$34="No",'Green+Social Interface'!$D$35="No"),SUM(M8:M14),0)</f>
        <v>0</v>
      </c>
      <c r="N15" s="285">
        <f>IF(OR('Green+Social Interface'!$D$34="No",'Green+Social Interface'!$D$35="No"),SUM(N8:N14),0)</f>
        <v>0</v>
      </c>
      <c r="O15" s="285">
        <f>IF(OR('Green+Social Interface'!$D$34="No",'Green+Social Interface'!$D$35="No"),SUM(O8:O14),0)</f>
        <v>0</v>
      </c>
      <c r="P15" s="285">
        <f>IF(OR('Green+Social Interface'!$D$34="No",'Green+Social Interface'!$D$35="No"),SUM(P8:P14),0)</f>
        <v>0</v>
      </c>
      <c r="Q15" s="285">
        <f>IF(OR('Green+Social Interface'!$D$34="No",'Green+Social Interface'!$D$35="No"),SUM(Q8:Q14),0)</f>
        <v>0</v>
      </c>
      <c r="R15" s="285">
        <f>IF(OR('Green+Social Interface'!$D$34="No",'Green+Social Interface'!$D$35="No"),SUM(R8:R14),0)</f>
        <v>0</v>
      </c>
      <c r="S15" s="285">
        <f>IF(OR('Green+Social Interface'!$D$34="No",'Green+Social Interface'!$D$35="No"),SUM(S8:S14),0)</f>
        <v>0</v>
      </c>
      <c r="T15" s="285">
        <f>IF(OR('Green+Social Interface'!$D$34="No",'Green+Social Interface'!$D$35="No"),SUM(T8:T14),0)</f>
        <v>0</v>
      </c>
      <c r="U15" s="285">
        <f>IF(OR('Green+Social Interface'!$D$34="No",'Green+Social Interface'!$D$35="No"),SUM(U8:U14),0)</f>
        <v>0</v>
      </c>
      <c r="V15" s="285">
        <f>IF(OR('Green+Social Interface'!$D$34="No",'Green+Social Interface'!$D$35="No"),SUM(V8:V14),0)</f>
        <v>0</v>
      </c>
      <c r="W15" s="285">
        <f>IF(OR('Green+Social Interface'!$D$34="No",'Green+Social Interface'!$D$35="No"),SUM(W8:W14),0)</f>
        <v>0</v>
      </c>
      <c r="X15" s="285">
        <f>IF(OR('Green+Social Interface'!$D$34="No",'Green+Social Interface'!$D$35="No"),SUM(X8:X14),0)</f>
        <v>0</v>
      </c>
      <c r="Y15" s="285">
        <f>IF(OR('Green+Social Interface'!$D$34="No",'Green+Social Interface'!$D$35="No"),SUM(Y8:Y14),0)</f>
        <v>0</v>
      </c>
      <c r="Z15" s="285">
        <f>IF(OR('Green+Social Interface'!$D$34="No",'Green+Social Interface'!$D$35="No"),SUM(Z8:Z14),0)</f>
        <v>0</v>
      </c>
      <c r="AA15" s="285">
        <f>IF(OR('Green+Social Interface'!$D$34="No",'Green+Social Interface'!$D$35="No"),SUM(AA8:AA14),0)</f>
        <v>0</v>
      </c>
      <c r="AB15" s="285">
        <f>IF(OR('Green+Social Interface'!$D$34="No",'Green+Social Interface'!$D$35="No"),SUM(AB8:AB14),0)</f>
        <v>0</v>
      </c>
      <c r="AC15" s="285">
        <f>IF(OR('Green+Social Interface'!$D$34="No",'Green+Social Interface'!$D$35="No"),SUM(AC8:AC14),0)</f>
        <v>0</v>
      </c>
      <c r="AD15" s="285">
        <f>IF(OR('Green+Social Interface'!$D$34="No",'Green+Social Interface'!$D$35="No"),SUM(AD8:AD14),0)</f>
        <v>0</v>
      </c>
      <c r="AE15" s="285">
        <f>IF(OR('Green+Social Interface'!$D$34="No",'Green+Social Interface'!$D$35="No"),SUM(AE8:AE14),0)</f>
        <v>0</v>
      </c>
      <c r="AF15" s="285">
        <f>IF(OR('Green+Social Interface'!$D$34="No",'Green+Social Interface'!$D$35="No"),SUM(AF8:AF14),0)</f>
        <v>0</v>
      </c>
      <c r="AG15" s="285">
        <f>IF(OR('Green+Social Interface'!$D$34="No",'Green+Social Interface'!$D$35="No"),SUM(AG8:AG14),0)</f>
        <v>0</v>
      </c>
      <c r="AH15" s="285">
        <f>IF(OR('Green+Social Interface'!$D$34="No",'Green+Social Interface'!$D$35="No"),SUM(AH8:AH14),0)</f>
        <v>0</v>
      </c>
      <c r="AI15" s="285">
        <f>IF(OR('Green+Social Interface'!$D$34="No",'Green+Social Interface'!$D$35="No"),SUM(AI8:AI14),0)</f>
        <v>0</v>
      </c>
      <c r="AJ15" s="285">
        <f>IF(OR('Green+Social Interface'!$D$34="No",'Green+Social Interface'!$D$35="No"),SUM(AJ8:AJ14),0)</f>
        <v>0</v>
      </c>
      <c r="AK15" s="285">
        <f>IF(OR('Green+Social Interface'!$D$34="No",'Green+Social Interface'!$D$35="No"),SUM(AK8:AK14),0)</f>
        <v>0</v>
      </c>
      <c r="AL15" s="285">
        <f>IF(OR('Green+Social Interface'!$D$34="No",'Green+Social Interface'!$D$35="No"),SUM(AL8:AL14),0)</f>
        <v>0</v>
      </c>
      <c r="AM15" s="285">
        <f>IF(OR('Green+Social Interface'!$D$34="No",'Green+Social Interface'!$D$35="No"),SUM(AM8:AM14),0)</f>
        <v>0</v>
      </c>
      <c r="AN15" s="285">
        <f>IF(OR('Green+Social Interface'!$D$34="No",'Green+Social Interface'!$D$35="No"),SUM(AN8:AN14),0)</f>
        <v>0</v>
      </c>
      <c r="AO15" s="285">
        <f>IF(OR('Green+Social Interface'!$D$34="No",'Green+Social Interface'!$D$35="No"),SUM(AO8:AO14),0)</f>
        <v>0</v>
      </c>
      <c r="AP15" s="285">
        <f>IF(OR('Green+Social Interface'!$D$34="No",'Green+Social Interface'!$D$35="No"),SUM(AP8:AP14),0)</f>
        <v>0</v>
      </c>
      <c r="AQ15" s="285">
        <f>IF(OR('Green+Social Interface'!$D$34="No",'Green+Social Interface'!$D$35="No"),SUM(AQ8:AQ14),0)</f>
        <v>0</v>
      </c>
      <c r="AR15" s="285">
        <f>IF(OR('Green+Social Interface'!$D$34="No",'Green+Social Interface'!$D$35="No"),SUM(AR8:AR14),0)</f>
        <v>0</v>
      </c>
      <c r="AS15" s="285">
        <f>IF(OR('Green+Social Interface'!$D$34="No",'Green+Social Interface'!$D$35="No"),SUM(AS8:AS14),0)</f>
        <v>0</v>
      </c>
      <c r="AT15" s="285">
        <f>IF(OR('Green+Social Interface'!$D$34="No",'Green+Social Interface'!$D$35="No"),SUM(AT8:AT14),0)</f>
        <v>0</v>
      </c>
      <c r="AU15" s="285">
        <f>IF(OR('Green+Social Interface'!$D$34="No",'Green+Social Interface'!$D$35="No"),SUM(AU8:AU14),0)</f>
        <v>0</v>
      </c>
      <c r="AV15" s="285">
        <f>IF(OR('Green+Social Interface'!$D$34="No",'Green+Social Interface'!$D$35="No"),SUM(AV8:AV14),0)</f>
        <v>0</v>
      </c>
      <c r="AW15" s="285">
        <f>IF(OR('Green+Social Interface'!$D$34="No",'Green+Social Interface'!$D$35="No"),SUM(AW8:AW14),0)</f>
        <v>0</v>
      </c>
      <c r="AX15" s="285">
        <f>IF(OR('Green+Social Interface'!$D$34="No",'Green+Social Interface'!$D$35="No"),SUM(AX8:AX14),0)</f>
        <v>0</v>
      </c>
      <c r="AY15" s="285">
        <f>IF(OR('Green+Social Interface'!$D$34="No",'Green+Social Interface'!$D$35="No"),SUM(AY8:AY14),0)</f>
        <v>0</v>
      </c>
      <c r="AZ15" s="285">
        <f>IF(OR('Green+Social Interface'!$D$34="No",'Green+Social Interface'!$D$35="No"),SUM(AZ8:AZ14),0)</f>
        <v>0</v>
      </c>
    </row>
    <row r="16" spans="2:52" ht="15">
      <c r="B16" s="286" t="s">
        <v>236</v>
      </c>
      <c r="C16" s="190"/>
      <c r="D16" s="190"/>
      <c r="E16" s="191"/>
      <c r="F16" s="192"/>
      <c r="G16" s="193"/>
      <c r="H16" s="194"/>
      <c r="I16" s="195"/>
      <c r="J16" s="196"/>
      <c r="K16" s="196"/>
      <c r="L16" s="197"/>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row>
    <row r="17" spans="2:52" ht="15">
      <c r="B17" s="189" t="s">
        <v>241</v>
      </c>
      <c r="C17" s="190" t="s">
        <v>237</v>
      </c>
      <c r="D17" s="190" t="s">
        <v>67</v>
      </c>
      <c r="E17" s="254">
        <v>0.24</v>
      </c>
      <c r="F17" s="192"/>
      <c r="G17" s="335" t="s">
        <v>269</v>
      </c>
      <c r="H17" s="194"/>
      <c r="I17" s="195"/>
      <c r="J17" s="199">
        <f aca="true" t="shared" si="10" ref="J17:J23">IF(AND(K17&gt;0,$D$72&gt;0),K17/$D$72,0)</f>
        <v>0</v>
      </c>
      <c r="K17" s="199">
        <f>AVERAGE(M17:AZ17)</f>
        <v>0</v>
      </c>
      <c r="L17" s="200">
        <f>SUM(M17:AZ17)</f>
        <v>0</v>
      </c>
      <c r="M17" s="313">
        <f>($E$17*($D$76-'Green+Social Interface'!$F$62)*44/12)/1000</f>
        <v>0</v>
      </c>
      <c r="N17" s="313">
        <f>($E$17*($D$76-'Green+Social Interface'!$F$62)*44/12)/1000</f>
        <v>0</v>
      </c>
      <c r="O17" s="313">
        <f>($E$17*($D$76-'Green+Social Interface'!$F$62)*44/12)/1000</f>
        <v>0</v>
      </c>
      <c r="P17" s="313">
        <f>($E$17*($D$76-'Green+Social Interface'!$F$62)*44/12)/1000</f>
        <v>0</v>
      </c>
      <c r="Q17" s="313">
        <f>($E$17*($D$76-'Green+Social Interface'!$F$62)*44/12)/1000</f>
        <v>0</v>
      </c>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row>
    <row r="18" spans="2:52" ht="15">
      <c r="B18" s="189"/>
      <c r="C18" s="190" t="s">
        <v>238</v>
      </c>
      <c r="D18" s="190" t="s">
        <v>67</v>
      </c>
      <c r="E18" s="254">
        <v>0.61</v>
      </c>
      <c r="F18" s="192"/>
      <c r="G18" s="335" t="s">
        <v>269</v>
      </c>
      <c r="H18" s="194"/>
      <c r="I18" s="201"/>
      <c r="J18" s="199">
        <f t="shared" si="10"/>
        <v>0</v>
      </c>
      <c r="K18" s="199">
        <f>AVERAGE(M18:AZ18)</f>
        <v>0</v>
      </c>
      <c r="L18" s="200">
        <f aca="true" t="shared" si="11" ref="L18:L20">SUM(M18:AZ18)</f>
        <v>0</v>
      </c>
      <c r="M18" s="313"/>
      <c r="N18" s="313"/>
      <c r="O18" s="313"/>
      <c r="P18" s="313"/>
      <c r="Q18" s="313"/>
      <c r="R18" s="313">
        <f>($E$18*($D$76-'Green+Social Interface'!$F$62)*44/12)/1000</f>
        <v>0</v>
      </c>
      <c r="S18" s="313">
        <f>($E$18*($D$76-'Green+Social Interface'!$F$62)*44/12)/1000</f>
        <v>0</v>
      </c>
      <c r="T18" s="313">
        <f>($E$18*($D$76-'Green+Social Interface'!$F$62)*44/12)/1000</f>
        <v>0</v>
      </c>
      <c r="U18" s="313">
        <f>($E$18*($D$76-'Green+Social Interface'!$F$62)*44/12)/1000</f>
        <v>0</v>
      </c>
      <c r="V18" s="313">
        <f>($E$18*($D$76-'Green+Social Interface'!$F$62)*44/12)/1000</f>
        <v>0</v>
      </c>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row>
    <row r="19" spans="2:52" ht="15">
      <c r="B19" s="189"/>
      <c r="C19" s="202" t="s">
        <v>239</v>
      </c>
      <c r="D19" s="190" t="s">
        <v>67</v>
      </c>
      <c r="E19" s="254">
        <v>0.47</v>
      </c>
      <c r="F19" s="192"/>
      <c r="G19" s="335" t="s">
        <v>269</v>
      </c>
      <c r="H19" s="194"/>
      <c r="I19" s="203"/>
      <c r="J19" s="199">
        <f t="shared" si="10"/>
        <v>0</v>
      </c>
      <c r="K19" s="199">
        <f>AVERAGE(M19:AZ19)</f>
        <v>0</v>
      </c>
      <c r="L19" s="200">
        <f t="shared" si="11"/>
        <v>0</v>
      </c>
      <c r="M19" s="254"/>
      <c r="N19" s="254"/>
      <c r="O19" s="254"/>
      <c r="P19" s="254"/>
      <c r="Q19" s="254"/>
      <c r="R19" s="254"/>
      <c r="S19" s="254"/>
      <c r="T19" s="254"/>
      <c r="U19" s="254"/>
      <c r="V19" s="254"/>
      <c r="W19" s="313">
        <f>($E$19*($D$76-'Green+Social Interface'!$F$62)*44/12)/1000</f>
        <v>0</v>
      </c>
      <c r="X19" s="313">
        <f>($E$19*($D$76-'Green+Social Interface'!$F$62)*44/12)/1000</f>
        <v>0</v>
      </c>
      <c r="Y19" s="313">
        <f>($E$19*($D$76-'Green+Social Interface'!$F$62)*44/12)/1000</f>
        <v>0</v>
      </c>
      <c r="Z19" s="313">
        <f>($E$19*($D$76-'Green+Social Interface'!$F$62)*44/12)/1000</f>
        <v>0</v>
      </c>
      <c r="AA19" s="313">
        <f>($E$19*($D$76-'Green+Social Interface'!$F$62)*44/12)/1000</f>
        <v>0</v>
      </c>
      <c r="AB19" s="313">
        <f>($E$19*($D$76-'Green+Social Interface'!$F$62)*44/12)/1000</f>
        <v>0</v>
      </c>
      <c r="AC19" s="313">
        <f>($E$19*($D$76-'Green+Social Interface'!$F$62)*44/12)/1000</f>
        <v>0</v>
      </c>
      <c r="AD19" s="313">
        <f>($E$19*($D$76-'Green+Social Interface'!$F$62)*44/12)/1000</f>
        <v>0</v>
      </c>
      <c r="AE19" s="313">
        <f>($E$19*($D$76-'Green+Social Interface'!$F$62)*44/12)/1000</f>
        <v>0</v>
      </c>
      <c r="AF19" s="313">
        <f>($E$19*($D$76-'Green+Social Interface'!$F$62)*44/12)/1000</f>
        <v>0</v>
      </c>
      <c r="AG19" s="254"/>
      <c r="AH19" s="254"/>
      <c r="AI19" s="254"/>
      <c r="AJ19" s="254"/>
      <c r="AK19" s="254"/>
      <c r="AL19" s="254"/>
      <c r="AM19" s="254"/>
      <c r="AN19" s="254"/>
      <c r="AO19" s="254"/>
      <c r="AP19" s="254"/>
      <c r="AQ19" s="254"/>
      <c r="AR19" s="254"/>
      <c r="AS19" s="254"/>
      <c r="AT19" s="254"/>
      <c r="AU19" s="254"/>
      <c r="AV19" s="254"/>
      <c r="AW19" s="254"/>
      <c r="AX19" s="254"/>
      <c r="AY19" s="254"/>
      <c r="AZ19" s="254"/>
    </row>
    <row r="20" spans="2:52" ht="15">
      <c r="B20" s="189"/>
      <c r="C20" s="202" t="s">
        <v>240</v>
      </c>
      <c r="D20" s="190" t="s">
        <v>67</v>
      </c>
      <c r="E20" s="254">
        <v>0.3</v>
      </c>
      <c r="F20" s="192"/>
      <c r="G20" s="335" t="s">
        <v>269</v>
      </c>
      <c r="H20" s="194"/>
      <c r="I20" s="201"/>
      <c r="J20" s="199">
        <f t="shared" si="10"/>
        <v>0</v>
      </c>
      <c r="K20" s="199">
        <f aca="true" t="shared" si="12" ref="K20:K47">AVERAGE(M20:AZ20)</f>
        <v>0</v>
      </c>
      <c r="L20" s="200">
        <f t="shared" si="11"/>
        <v>0</v>
      </c>
      <c r="M20" s="254"/>
      <c r="N20" s="254"/>
      <c r="O20" s="254"/>
      <c r="P20" s="254"/>
      <c r="Q20" s="254"/>
      <c r="R20" s="254"/>
      <c r="S20" s="254"/>
      <c r="T20" s="254"/>
      <c r="U20" s="254"/>
      <c r="V20" s="254"/>
      <c r="W20" s="254"/>
      <c r="X20" s="254"/>
      <c r="Y20" s="254"/>
      <c r="Z20" s="254"/>
      <c r="AA20" s="254"/>
      <c r="AB20" s="254"/>
      <c r="AC20" s="254"/>
      <c r="AD20" s="254"/>
      <c r="AE20" s="254"/>
      <c r="AF20" s="254"/>
      <c r="AG20" s="313">
        <f>($E$20*($D$76-'Green+Social Interface'!$F$62)*44/12)/1000</f>
        <v>0</v>
      </c>
      <c r="AH20" s="313">
        <f>($E$20*($D$76-'Green+Social Interface'!$F$62)*44/12)/1000</f>
        <v>0</v>
      </c>
      <c r="AI20" s="313">
        <f>($E$20*($D$76-'Green+Social Interface'!$F$62)*44/12)/1000</f>
        <v>0</v>
      </c>
      <c r="AJ20" s="313">
        <f>($E$20*($D$76-'Green+Social Interface'!$F$62)*44/12)/1000</f>
        <v>0</v>
      </c>
      <c r="AK20" s="313">
        <f>($E$20*($D$76-'Green+Social Interface'!$F$62)*44/12)/1000</f>
        <v>0</v>
      </c>
      <c r="AL20" s="313">
        <f>($E$20*($D$76-'Green+Social Interface'!$F$62)*44/12)/1000</f>
        <v>0</v>
      </c>
      <c r="AM20" s="313">
        <f>($E$20*($D$76-'Green+Social Interface'!$F$62)*44/12)/1000</f>
        <v>0</v>
      </c>
      <c r="AN20" s="313">
        <f>($E$20*($D$76-'Green+Social Interface'!$F$62)*44/12)/1000</f>
        <v>0</v>
      </c>
      <c r="AO20" s="313">
        <f>($E$20*($D$76-'Green+Social Interface'!$F$62)*44/12)/1000</f>
        <v>0</v>
      </c>
      <c r="AP20" s="313">
        <f>($E$20*($D$76-'Green+Social Interface'!$F$62)*44/12)/1000</f>
        <v>0</v>
      </c>
      <c r="AQ20" s="313">
        <f>($E$20*($D$76-'Green+Social Interface'!$F$62)*44/12)/1000</f>
        <v>0</v>
      </c>
      <c r="AR20" s="313">
        <f>($E$20*($D$76-'Green+Social Interface'!$F$62)*44/12)/1000</f>
        <v>0</v>
      </c>
      <c r="AS20" s="313">
        <f>($E$20*($D$76-'Green+Social Interface'!$F$62)*44/12)/1000</f>
        <v>0</v>
      </c>
      <c r="AT20" s="313">
        <f>($E$20*($D$76-'Green+Social Interface'!$F$62)*44/12)/1000</f>
        <v>0</v>
      </c>
      <c r="AU20" s="313">
        <f>($E$20*($D$76-'Green+Social Interface'!$F$62)*44/12)/1000</f>
        <v>0</v>
      </c>
      <c r="AV20" s="313">
        <f>($E$20*($D$76-'Green+Social Interface'!$F$62)*44/12)/1000</f>
        <v>0</v>
      </c>
      <c r="AW20" s="313">
        <f>($E$20*($D$76-'Green+Social Interface'!$F$62)*44/12)/1000</f>
        <v>0</v>
      </c>
      <c r="AX20" s="313">
        <f>($E$20*($D$76-'Green+Social Interface'!$F$62)*44/12)/1000</f>
        <v>0</v>
      </c>
      <c r="AY20" s="313">
        <f>($E$20*($D$76-'Green+Social Interface'!$F$62)*44/12)/1000</f>
        <v>0</v>
      </c>
      <c r="AZ20" s="313">
        <f>($E$20*($D$76-'Green+Social Interface'!$F$62)*44/12)/1000</f>
        <v>0</v>
      </c>
    </row>
    <row r="21" spans="2:52" ht="15">
      <c r="B21" s="189" t="s">
        <v>242</v>
      </c>
      <c r="C21" s="190" t="s">
        <v>648</v>
      </c>
      <c r="D21" s="190" t="s">
        <v>67</v>
      </c>
      <c r="E21" s="204"/>
      <c r="F21" s="192"/>
      <c r="G21" s="335" t="s">
        <v>269</v>
      </c>
      <c r="H21" s="194"/>
      <c r="I21" s="201"/>
      <c r="J21" s="340">
        <f t="shared" si="10"/>
        <v>0</v>
      </c>
      <c r="K21" s="340">
        <f>AVERAGE(M21:AZ21)</f>
        <v>0</v>
      </c>
      <c r="L21" s="341">
        <f aca="true" t="shared" si="13" ref="L21:L47">SUM(M21:AZ21)</f>
        <v>0</v>
      </c>
      <c r="M21" s="314">
        <f>SUM(M17:M20)</f>
        <v>0</v>
      </c>
      <c r="N21" s="314">
        <f aca="true" t="shared" si="14" ref="N21:AZ21">SUM(N17:N20)</f>
        <v>0</v>
      </c>
      <c r="O21" s="314">
        <f t="shared" si="14"/>
        <v>0</v>
      </c>
      <c r="P21" s="314">
        <f t="shared" si="14"/>
        <v>0</v>
      </c>
      <c r="Q21" s="314">
        <f t="shared" si="14"/>
        <v>0</v>
      </c>
      <c r="R21" s="314">
        <f t="shared" si="14"/>
        <v>0</v>
      </c>
      <c r="S21" s="314">
        <f t="shared" si="14"/>
        <v>0</v>
      </c>
      <c r="T21" s="314">
        <f t="shared" si="14"/>
        <v>0</v>
      </c>
      <c r="U21" s="314">
        <f t="shared" si="14"/>
        <v>0</v>
      </c>
      <c r="V21" s="314">
        <f t="shared" si="14"/>
        <v>0</v>
      </c>
      <c r="W21" s="314">
        <f t="shared" si="14"/>
        <v>0</v>
      </c>
      <c r="X21" s="314">
        <f t="shared" si="14"/>
        <v>0</v>
      </c>
      <c r="Y21" s="314">
        <f t="shared" si="14"/>
        <v>0</v>
      </c>
      <c r="Z21" s="314">
        <f t="shared" si="14"/>
        <v>0</v>
      </c>
      <c r="AA21" s="314">
        <f t="shared" si="14"/>
        <v>0</v>
      </c>
      <c r="AB21" s="314">
        <f t="shared" si="14"/>
        <v>0</v>
      </c>
      <c r="AC21" s="314">
        <f t="shared" si="14"/>
        <v>0</v>
      </c>
      <c r="AD21" s="314">
        <f t="shared" si="14"/>
        <v>0</v>
      </c>
      <c r="AE21" s="314">
        <f t="shared" si="14"/>
        <v>0</v>
      </c>
      <c r="AF21" s="314">
        <f t="shared" si="14"/>
        <v>0</v>
      </c>
      <c r="AG21" s="314">
        <f t="shared" si="14"/>
        <v>0</v>
      </c>
      <c r="AH21" s="314">
        <f t="shared" si="14"/>
        <v>0</v>
      </c>
      <c r="AI21" s="314">
        <f t="shared" si="14"/>
        <v>0</v>
      </c>
      <c r="AJ21" s="314">
        <f t="shared" si="14"/>
        <v>0</v>
      </c>
      <c r="AK21" s="314">
        <f t="shared" si="14"/>
        <v>0</v>
      </c>
      <c r="AL21" s="314">
        <f t="shared" si="14"/>
        <v>0</v>
      </c>
      <c r="AM21" s="314">
        <f t="shared" si="14"/>
        <v>0</v>
      </c>
      <c r="AN21" s="314">
        <f t="shared" si="14"/>
        <v>0</v>
      </c>
      <c r="AO21" s="314">
        <f t="shared" si="14"/>
        <v>0</v>
      </c>
      <c r="AP21" s="314">
        <f t="shared" si="14"/>
        <v>0</v>
      </c>
      <c r="AQ21" s="314">
        <f t="shared" si="14"/>
        <v>0</v>
      </c>
      <c r="AR21" s="314">
        <f t="shared" si="14"/>
        <v>0</v>
      </c>
      <c r="AS21" s="314">
        <f t="shared" si="14"/>
        <v>0</v>
      </c>
      <c r="AT21" s="314">
        <f t="shared" si="14"/>
        <v>0</v>
      </c>
      <c r="AU21" s="314">
        <f t="shared" si="14"/>
        <v>0</v>
      </c>
      <c r="AV21" s="314">
        <f t="shared" si="14"/>
        <v>0</v>
      </c>
      <c r="AW21" s="314">
        <f t="shared" si="14"/>
        <v>0</v>
      </c>
      <c r="AX21" s="314">
        <f t="shared" si="14"/>
        <v>0</v>
      </c>
      <c r="AY21" s="314">
        <f t="shared" si="14"/>
        <v>0</v>
      </c>
      <c r="AZ21" s="314">
        <f t="shared" si="14"/>
        <v>0</v>
      </c>
    </row>
    <row r="22" spans="2:52" ht="15">
      <c r="B22" s="189" t="s">
        <v>243</v>
      </c>
      <c r="C22" s="342" t="s">
        <v>646</v>
      </c>
      <c r="D22" s="190" t="s">
        <v>250</v>
      </c>
      <c r="E22" s="204"/>
      <c r="F22" s="192"/>
      <c r="G22" s="205"/>
      <c r="H22" s="194"/>
      <c r="I22" s="201"/>
      <c r="J22" s="461">
        <f t="shared" si="10"/>
        <v>0</v>
      </c>
      <c r="K22" s="196">
        <f t="shared" si="12"/>
        <v>0</v>
      </c>
      <c r="L22" s="206">
        <f t="shared" si="13"/>
        <v>0</v>
      </c>
      <c r="M22" s="207">
        <f>IF(M21&lt;&gt;0,M21*(('Green+Social Interface'!$Z$65*'Green+Social Interface'!$Z$62)*(1+0.0255)),0)</f>
        <v>0</v>
      </c>
      <c r="N22" s="207">
        <f>IF(N21&lt;&gt;0,N21*(('Green+Social Interface'!$Z$65*'Green+Social Interface'!$Z$62)*((1+0.0255+$D$74)^(N$3-1))),0)</f>
        <v>0</v>
      </c>
      <c r="O22" s="207">
        <f>IF(O21&lt;&gt;0,O21*(('Green+Social Interface'!$Z$65*'Green+Social Interface'!$Z$62)*((1+0.0255+$D$74)^(O$3-1))),0)</f>
        <v>0</v>
      </c>
      <c r="P22" s="207">
        <f>IF(P21&lt;&gt;0,P21*(('Green+Social Interface'!$Z$65*'Green+Social Interface'!$Z$62)*((1+0.0255+$D$74)^(P$3-1))),0)</f>
        <v>0</v>
      </c>
      <c r="Q22" s="207">
        <f>IF(Q21&lt;&gt;0,Q21*(('Green+Social Interface'!$Z$65*'Green+Social Interface'!$Z$62)*((1+0.0255+$D$74)^(Q$3-1))),0)</f>
        <v>0</v>
      </c>
      <c r="R22" s="207">
        <f>IF(R21&lt;&gt;0,R21*(('Green+Social Interface'!$Z$65*'Green+Social Interface'!$Z$62)*((1+0.0255+$D$74)^(R$3-1))),0)</f>
        <v>0</v>
      </c>
      <c r="S22" s="207">
        <f>IF(S21&lt;&gt;0,S21*(('Green+Social Interface'!$Z$65*'Green+Social Interface'!$Z$62)*((1+0.0255+$D$74)^(S$3-1))),0)</f>
        <v>0</v>
      </c>
      <c r="T22" s="207">
        <f>IF(T21&lt;&gt;0,T21*(('Green+Social Interface'!$Z$65*'Green+Social Interface'!$Z$62)*((1+0.0255+$D$74)^(T$3-1))),0)</f>
        <v>0</v>
      </c>
      <c r="U22" s="207">
        <f>IF(U21&lt;&gt;0,U21*(('Green+Social Interface'!$Z$65*'Green+Social Interface'!$Z$62)*((1+0.0255+$D$74)^(U$3-1))),0)</f>
        <v>0</v>
      </c>
      <c r="V22" s="207">
        <f>IF(V21&lt;&gt;0,V21*(('Green+Social Interface'!$Z$65*'Green+Social Interface'!$Z$62)*((1+0.0255+$D$74)^(V$3-1))),0)</f>
        <v>0</v>
      </c>
      <c r="W22" s="207">
        <f>IF(W21&lt;&gt;0,W21*(('Green+Social Interface'!$Z$65*'Green+Social Interface'!$Z$62)*((1+0.0255+$D$74)^(W$3-1))),0)</f>
        <v>0</v>
      </c>
      <c r="X22" s="207">
        <f>IF(X21&lt;&gt;0,X21*(('Green+Social Interface'!$Z$65*'Green+Social Interface'!$Z$62)*((1+0.0255+$D$74)^(X$3-1))),0)</f>
        <v>0</v>
      </c>
      <c r="Y22" s="207">
        <f>IF(Y21&lt;&gt;0,Y21*(('Green+Social Interface'!$Z$65*'Green+Social Interface'!$Z$62)*((1+0.0255+$D$74)^(Y$3-1))),0)</f>
        <v>0</v>
      </c>
      <c r="Z22" s="207">
        <f>IF(Z21&lt;&gt;0,Z21*(('Green+Social Interface'!$Z$65*'Green+Social Interface'!$Z$62)*((1+0.0255+$D$74)^(Z$3-1))),0)</f>
        <v>0</v>
      </c>
      <c r="AA22" s="207">
        <f>IF(AA21&lt;&gt;0,AA21*(('Green+Social Interface'!$Z$65*'Green+Social Interface'!$Z$62)*((1+0.0255+$D$74)^(AA$3-1))),0)</f>
        <v>0</v>
      </c>
      <c r="AB22" s="207">
        <f>IF(AB21&lt;&gt;0,AB21*(('Green+Social Interface'!$Z$65*'Green+Social Interface'!$Z$62)*((1+0.0255+$D$74)^(AB$3-1))),0)</f>
        <v>0</v>
      </c>
      <c r="AC22" s="207">
        <f>IF(AC21&lt;&gt;0,AC21*(('Green+Social Interface'!$Z$65*'Green+Social Interface'!$Z$62)*((1+0.0255+$D$74)^(AC$3-1))),0)</f>
        <v>0</v>
      </c>
      <c r="AD22" s="207">
        <f>IF(AD21&lt;&gt;0,AD21*(('Green+Social Interface'!$Z$65*'Green+Social Interface'!$Z$62)*((1+0.0255+$D$74)^(AD$3-1))),0)</f>
        <v>0</v>
      </c>
      <c r="AE22" s="207">
        <f>IF(AE21&lt;&gt;0,AE21*(('Green+Social Interface'!$Z$65*'Green+Social Interface'!$Z$62)*((1+0.0255+$D$74)^(AE$3-1))),0)</f>
        <v>0</v>
      </c>
      <c r="AF22" s="207">
        <f>IF(AF21&lt;&gt;0,AF21*(('Green+Social Interface'!$Z$65*'Green+Social Interface'!$Z$62)*((1+0.0255+$D$74)^(AF$3-1))),0)</f>
        <v>0</v>
      </c>
      <c r="AG22" s="207">
        <f>IF(AG21&lt;&gt;0,AG21*(('Green+Social Interface'!$Z$65*'Green+Social Interface'!$Z$62)*((1+0.0255+$D$74)^(AG$3-1))),0)</f>
        <v>0</v>
      </c>
      <c r="AH22" s="207">
        <f>IF(AH21&lt;&gt;0,AH21*(('Green+Social Interface'!$Z$65*'Green+Social Interface'!$Z$62)*((1+0.0255+$D$74)^(AH$3-1))),0)</f>
        <v>0</v>
      </c>
      <c r="AI22" s="207">
        <f>IF(AI21&lt;&gt;0,AI21*(('Green+Social Interface'!$Z$65*'Green+Social Interface'!$Z$62)*((1+0.0255+$D$74)^(AI$3-1))),0)</f>
        <v>0</v>
      </c>
      <c r="AJ22" s="207">
        <f>IF(AJ21&lt;&gt;0,AJ21*(('Green+Social Interface'!$Z$65*'Green+Social Interface'!$Z$62)*((1+0.0255+$D$74)^(AJ$3-1))),0)</f>
        <v>0</v>
      </c>
      <c r="AK22" s="207">
        <f>IF(AK21&lt;&gt;0,AK21*(('Green+Social Interface'!$Z$65*'Green+Social Interface'!$Z$62)*((1+0.0255+$D$74)^(AK$3-1))),0)</f>
        <v>0</v>
      </c>
      <c r="AL22" s="207">
        <f>IF(AL21&lt;&gt;0,AL21*(('Green+Social Interface'!$Z$65*'Green+Social Interface'!$Z$62)*((1+0.0255+$D$74)^(AL$3-1))),0)</f>
        <v>0</v>
      </c>
      <c r="AM22" s="207">
        <f>IF(AM21&lt;&gt;0,AM21*(('Green+Social Interface'!$Z$65*'Green+Social Interface'!$Z$62)*((1+0.0255+$D$74)^(AM$3-1))),0)</f>
        <v>0</v>
      </c>
      <c r="AN22" s="207">
        <f>IF(AN21&lt;&gt;0,AN21*(('Green+Social Interface'!$Z$65*'Green+Social Interface'!$Z$62)*((1+0.0255+$D$74)^(AN$3-1))),0)</f>
        <v>0</v>
      </c>
      <c r="AO22" s="207">
        <f>IF(AO21&lt;&gt;0,AO21*(('Green+Social Interface'!$Z$65*'Green+Social Interface'!$Z$62)*((1+0.0255+$D$74)^(AO$3-1))),0)</f>
        <v>0</v>
      </c>
      <c r="AP22" s="207">
        <f>IF(AP21&lt;&gt;0,AP21*(('Green+Social Interface'!$Z$65*'Green+Social Interface'!$Z$62)*((1+0.0255+$D$74)^(AP$3-1))),0)</f>
        <v>0</v>
      </c>
      <c r="AQ22" s="207">
        <f>IF(AQ21&lt;&gt;0,AQ21*(('Green+Social Interface'!$Z$65*'Green+Social Interface'!$Z$62)*((1+0.0255+$D$74)^(AQ$3-1))),0)</f>
        <v>0</v>
      </c>
      <c r="AR22" s="207">
        <f>IF(AR21&lt;&gt;0,AR21*(('Green+Social Interface'!$Z$65*'Green+Social Interface'!$Z$62)*((1+0.0255+$D$74)^(AR$3-1))),0)</f>
        <v>0</v>
      </c>
      <c r="AS22" s="207">
        <f>IF(AS21&lt;&gt;0,AS21*(('Green+Social Interface'!$Z$65*'Green+Social Interface'!$Z$62)*((1+0.0255+$D$74)^(AS$3-1))),0)</f>
        <v>0</v>
      </c>
      <c r="AT22" s="207">
        <f>IF(AT21&lt;&gt;0,AT21*(('Green+Social Interface'!$Z$65*'Green+Social Interface'!$Z$62)*((1+0.0255+$D$74)^(AT$3-1))),0)</f>
        <v>0</v>
      </c>
      <c r="AU22" s="207">
        <f>IF(AU21&lt;&gt;0,AU21*(('Green+Social Interface'!$Z$65*'Green+Social Interface'!$Z$62)*((1+0.0255+$D$74)^(AU$3-1))),0)</f>
        <v>0</v>
      </c>
      <c r="AV22" s="207">
        <f>IF(AV21&lt;&gt;0,AV21*(('Green+Social Interface'!$Z$65*'Green+Social Interface'!$Z$62)*((1+0.0255+$D$74)^(AV$3-1))),0)</f>
        <v>0</v>
      </c>
      <c r="AW22" s="207">
        <f>IF(AW21&lt;&gt;0,AW21*(('Green+Social Interface'!$Z$65*'Green+Social Interface'!$Z$62)*((1+0.0255+$D$74)^(AW$3-1))),0)</f>
        <v>0</v>
      </c>
      <c r="AX22" s="207">
        <f>IF(AX21&lt;&gt;0,AX21*(('Green+Social Interface'!$Z$65*'Green+Social Interface'!$Z$62)*((1+0.0255+$D$74)^(AX$3-1))),0)</f>
        <v>0</v>
      </c>
      <c r="AY22" s="207">
        <f>IF(AY21&lt;&gt;0,AY21*(('Green+Social Interface'!$Z$65*'Green+Social Interface'!$Z$62)*((1+0.0255+$D$74)^(AY$3-1))),0)</f>
        <v>0</v>
      </c>
      <c r="AZ22" s="207">
        <f>IF(AZ21&lt;&gt;0,AZ21*(('Green+Social Interface'!$Z$65*'Green+Social Interface'!$Z$62)*((1+0.0255+$D$74)^(AZ$3-1))),0)</f>
        <v>0</v>
      </c>
    </row>
    <row r="23" spans="2:52" ht="15">
      <c r="B23" s="189" t="s">
        <v>243</v>
      </c>
      <c r="C23" s="342" t="s">
        <v>647</v>
      </c>
      <c r="D23" s="190" t="s">
        <v>250</v>
      </c>
      <c r="E23" s="204"/>
      <c r="F23" s="192"/>
      <c r="G23" s="205"/>
      <c r="H23" s="194"/>
      <c r="I23" s="201"/>
      <c r="J23" s="199">
        <f t="shared" si="10"/>
        <v>0</v>
      </c>
      <c r="K23" s="196">
        <f aca="true" t="shared" si="15" ref="K23">AVERAGE(M23:AZ23)</f>
        <v>0</v>
      </c>
      <c r="L23" s="206">
        <f aca="true" t="shared" si="16" ref="L23">SUM(M23:AZ23)</f>
        <v>0</v>
      </c>
      <c r="M23" s="207">
        <f>IF(M21&lt;&gt;0,M21*(('Green+Social Interface'!$Z$65*'Green+Social Interface'!$Z$62)*(1+0.0255)),0)</f>
        <v>0</v>
      </c>
      <c r="N23" s="207">
        <f>IF(N21&lt;&gt;0,N21*(('Green+Social Interface'!$Z$65*'Green+Social Interface'!$Z$62)*((1+0.0255)^(N$3-1))),0)</f>
        <v>0</v>
      </c>
      <c r="O23" s="207">
        <f>IF(O21&lt;&gt;0,O21*(('Green+Social Interface'!$Z$65*'Green+Social Interface'!$Z$62)*((1+0.0255)^(O$3-1))),0)</f>
        <v>0</v>
      </c>
      <c r="P23" s="207">
        <f>IF(P21&lt;&gt;0,P21*(('Green+Social Interface'!$Z$65*'Green+Social Interface'!$Z$62)*((1+0.0255)^(P$3-1))),0)</f>
        <v>0</v>
      </c>
      <c r="Q23" s="207">
        <f>IF(Q21&lt;&gt;0,Q21*(('Green+Social Interface'!$Z$65*'Green+Social Interface'!$Z$62)*((1+0.0255)^(Q$3-1))),0)</f>
        <v>0</v>
      </c>
      <c r="R23" s="207">
        <f>IF(R21&lt;&gt;0,R21*(('Green+Social Interface'!$Z$65*'Green+Social Interface'!$Z$62)*((1+0.0255)^(R$3-1))),0)</f>
        <v>0</v>
      </c>
      <c r="S23" s="207">
        <f>IF(S21&lt;&gt;0,S21*(('Green+Social Interface'!$Z$65*'Green+Social Interface'!$Z$62)*((1+0.0255)^(S$3-1))),0)</f>
        <v>0</v>
      </c>
      <c r="T23" s="207">
        <f>IF(T21&lt;&gt;0,T21*(('Green+Social Interface'!$Z$65*'Green+Social Interface'!$Z$62)*((1+0.0255)^(T$3-1))),0)</f>
        <v>0</v>
      </c>
      <c r="U23" s="207">
        <f>IF(U21&lt;&gt;0,U21*(('Green+Social Interface'!$Z$65*'Green+Social Interface'!$Z$62)*((1+0.0255)^(U$3-1))),0)</f>
        <v>0</v>
      </c>
      <c r="V23" s="207">
        <f>IF(V21&lt;&gt;0,V21*(('Green+Social Interface'!$Z$65*'Green+Social Interface'!$Z$62)*((1+0.0255)^(V$3-1))),0)</f>
        <v>0</v>
      </c>
      <c r="W23" s="207">
        <f>IF(W21&lt;&gt;0,W21*(('Green+Social Interface'!$Z$65*'Green+Social Interface'!$Z$62)*((1+0.0255)^(W$3-1))),0)</f>
        <v>0</v>
      </c>
      <c r="X23" s="207">
        <f>IF(X21&lt;&gt;0,X21*(('Green+Social Interface'!$Z$65*'Green+Social Interface'!$Z$62)*((1+0.0255)^(X$3-1))),0)</f>
        <v>0</v>
      </c>
      <c r="Y23" s="207">
        <f>IF(Y21&lt;&gt;0,Y21*(('Green+Social Interface'!$Z$65*'Green+Social Interface'!$Z$62)*((1+0.0255)^(Y$3-1))),0)</f>
        <v>0</v>
      </c>
      <c r="Z23" s="207">
        <f>IF(Z21&lt;&gt;0,Z21*(('Green+Social Interface'!$Z$65*'Green+Social Interface'!$Z$62)*((1+0.0255)^(Z$3-1))),0)</f>
        <v>0</v>
      </c>
      <c r="AA23" s="207">
        <f>IF(AA21&lt;&gt;0,AA21*(('Green+Social Interface'!$Z$65*'Green+Social Interface'!$Z$62)*((1+0.0255)^(AA$3-1))),0)</f>
        <v>0</v>
      </c>
      <c r="AB23" s="207">
        <f>IF(AB21&lt;&gt;0,AB21*(('Green+Social Interface'!$Z$65*'Green+Social Interface'!$Z$62)*((1+0.0255)^(AB$3-1))),0)</f>
        <v>0</v>
      </c>
      <c r="AC23" s="207">
        <f>IF(AC21&lt;&gt;0,AC21*(('Green+Social Interface'!$Z$65*'Green+Social Interface'!$Z$62)*((1+0.0255)^(AC$3-1))),0)</f>
        <v>0</v>
      </c>
      <c r="AD23" s="207">
        <f>IF(AD21&lt;&gt;0,AD21*(('Green+Social Interface'!$Z$65*'Green+Social Interface'!$Z$62)*((1+0.0255)^(AD$3-1))),0)</f>
        <v>0</v>
      </c>
      <c r="AE23" s="207">
        <f>IF(AE21&lt;&gt;0,AE21*(('Green+Social Interface'!$Z$65*'Green+Social Interface'!$Z$62)*((1+0.0255)^(AE$3-1))),0)</f>
        <v>0</v>
      </c>
      <c r="AF23" s="207">
        <f>IF(AF21&lt;&gt;0,AF21*(('Green+Social Interface'!$Z$65*'Green+Social Interface'!$Z$62)*((1+0.0255)^(AF$3-1))),0)</f>
        <v>0</v>
      </c>
      <c r="AG23" s="207">
        <f>IF(AG21&lt;&gt;0,AG21*(('Green+Social Interface'!$Z$65*'Green+Social Interface'!$Z$62)*((1+0.0255)^(AG$3-1))),0)</f>
        <v>0</v>
      </c>
      <c r="AH23" s="207">
        <f>IF(AH21&lt;&gt;0,AH21*(('Green+Social Interface'!$Z$65*'Green+Social Interface'!$Z$62)*((1+0.0255)^(AH$3-1))),0)</f>
        <v>0</v>
      </c>
      <c r="AI23" s="207">
        <f>IF(AI21&lt;&gt;0,AI21*(('Green+Social Interface'!$Z$65*'Green+Social Interface'!$Z$62)*((1+0.0255)^(AI$3-1))),0)</f>
        <v>0</v>
      </c>
      <c r="AJ23" s="207">
        <f>IF(AJ21&lt;&gt;0,AJ21*(('Green+Social Interface'!$Z$65*'Green+Social Interface'!$Z$62)*((1+0.0255)^(AJ$3-1))),0)</f>
        <v>0</v>
      </c>
      <c r="AK23" s="207">
        <f>IF(AK21&lt;&gt;0,AK21*(('Green+Social Interface'!$Z$65*'Green+Social Interface'!$Z$62)*((1+0.0255)^(AK$3-1))),0)</f>
        <v>0</v>
      </c>
      <c r="AL23" s="207">
        <f>IF(AL21&lt;&gt;0,AL21*(('Green+Social Interface'!$Z$65*'Green+Social Interface'!$Z$62)*((1+0.0255)^(AL$3-1))),0)</f>
        <v>0</v>
      </c>
      <c r="AM23" s="207">
        <f>IF(AM21&lt;&gt;0,AM21*(('Green+Social Interface'!$Z$65*'Green+Social Interface'!$Z$62)*((1+0.0255)^(AM$3-1))),0)</f>
        <v>0</v>
      </c>
      <c r="AN23" s="207">
        <f>IF(AN21&lt;&gt;0,AN21*(('Green+Social Interface'!$Z$65*'Green+Social Interface'!$Z$62)*((1+0.0255)^(AN$3-1))),0)</f>
        <v>0</v>
      </c>
      <c r="AO23" s="207">
        <f>IF(AO21&lt;&gt;0,AO21*(('Green+Social Interface'!$Z$65*'Green+Social Interface'!$Z$62)*((1+0.0255)^(AO$3-1))),0)</f>
        <v>0</v>
      </c>
      <c r="AP23" s="207">
        <f>IF(AP21&lt;&gt;0,AP21*(('Green+Social Interface'!$Z$65*'Green+Social Interface'!$Z$62)*((1+0.0255)^(AP$3-1))),0)</f>
        <v>0</v>
      </c>
      <c r="AQ23" s="207">
        <f>IF(AQ21&lt;&gt;0,AQ21*(('Green+Social Interface'!$Z$65*'Green+Social Interface'!$Z$62)*((1+0.0255)^(AQ$3-1))),0)</f>
        <v>0</v>
      </c>
      <c r="AR23" s="207">
        <f>IF(AR21&lt;&gt;0,AR21*(('Green+Social Interface'!$Z$65*'Green+Social Interface'!$Z$62)*((1+0.0255)^(AR$3-1))),0)</f>
        <v>0</v>
      </c>
      <c r="AS23" s="207">
        <f>IF(AS21&lt;&gt;0,AS21*(('Green+Social Interface'!$Z$65*'Green+Social Interface'!$Z$62)*((1+0.0255)^(AS$3-1))),0)</f>
        <v>0</v>
      </c>
      <c r="AT23" s="207">
        <f>IF(AT21&lt;&gt;0,AT21*(('Green+Social Interface'!$Z$65*'Green+Social Interface'!$Z$62)*((1+0.0255)^(AT$3-1))),0)</f>
        <v>0</v>
      </c>
      <c r="AU23" s="207">
        <f>IF(AU21&lt;&gt;0,AU21*(('Green+Social Interface'!$Z$65*'Green+Social Interface'!$Z$62)*((1+0.0255)^(AU$3-1))),0)</f>
        <v>0</v>
      </c>
      <c r="AV23" s="207">
        <f>IF(AV21&lt;&gt;0,AV21*(('Green+Social Interface'!$Z$65*'Green+Social Interface'!$Z$62)*((1+0.0255)^(AV$3-1))),0)</f>
        <v>0</v>
      </c>
      <c r="AW23" s="207">
        <f>IF(AW21&lt;&gt;0,AW21*(('Green+Social Interface'!$Z$65*'Green+Social Interface'!$Z$62)*((1+0.0255)^(AW$3-1))),0)</f>
        <v>0</v>
      </c>
      <c r="AX23" s="207">
        <f>IF(AX21&lt;&gt;0,AX21*(('Green+Social Interface'!$Z$65*'Green+Social Interface'!$Z$62)*((1+0.0255)^(AX$3-1))),0)</f>
        <v>0</v>
      </c>
      <c r="AY23" s="207">
        <f>IF(AY21&lt;&gt;0,AY21*(('Green+Social Interface'!$Z$65*'Green+Social Interface'!$Z$62)*((1+0.0255)^(AY$3-1))),0)</f>
        <v>0</v>
      </c>
      <c r="AZ23" s="207">
        <f>IF(AZ21&lt;&gt;0,AZ21*(('Green+Social Interface'!$Z$65*'Green+Social Interface'!$Z$62)*((1+0.0255)^(AZ$3-1))),0)</f>
        <v>0</v>
      </c>
    </row>
    <row r="24" spans="2:52" ht="15">
      <c r="B24" s="287" t="s">
        <v>247</v>
      </c>
      <c r="C24" s="219"/>
      <c r="D24" s="219"/>
      <c r="E24" s="255" t="s">
        <v>403</v>
      </c>
      <c r="F24" s="227"/>
      <c r="G24" s="221"/>
      <c r="H24" s="222"/>
      <c r="I24" s="223"/>
      <c r="J24" s="224"/>
      <c r="K24" s="224"/>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row>
    <row r="25" spans="2:52" ht="15">
      <c r="B25" s="330" t="s">
        <v>640</v>
      </c>
      <c r="C25" s="219" t="s">
        <v>254</v>
      </c>
      <c r="D25" s="219"/>
      <c r="E25" s="228">
        <v>3.045</v>
      </c>
      <c r="F25" s="220">
        <f>E25*VLOOKUP('Green+Social Interface'!$I$38,'Look-ups'!$A$15:$B$43,2,0)</f>
        <v>3.2277</v>
      </c>
      <c r="G25" s="221"/>
      <c r="H25" s="222"/>
      <c r="I25" s="223"/>
      <c r="J25" s="224">
        <f aca="true" t="shared" si="17" ref="J25:J32">IF(AND(K25&gt;0,$D$72&gt;0),K25/$D$72,0)</f>
        <v>0</v>
      </c>
      <c r="K25" s="224">
        <f t="shared" si="12"/>
        <v>0</v>
      </c>
      <c r="L25" s="225">
        <f t="shared" si="13"/>
        <v>0</v>
      </c>
      <c r="M25" s="226">
        <f>IF('Green+Social Interface'!U11&gt;0,(('Green+Social Interface'!$U$77*'Green+Social Interface'!$Z$68*((ROUNDDOWN(($D$76-'Green+Social Interface'!$F$62)/'Green+Social Interface'!$U$11*100,-1)/10)*1.13)*'Green Infrastructure'!$F$25)*0.25),0)</f>
        <v>0</v>
      </c>
      <c r="N25" s="226">
        <f aca="true" t="shared" si="18" ref="N25:Q25">IF(M25&gt;0,M25*(1+$D$74),0)</f>
        <v>0</v>
      </c>
      <c r="O25" s="226">
        <f t="shared" si="18"/>
        <v>0</v>
      </c>
      <c r="P25" s="226">
        <f t="shared" si="18"/>
        <v>0</v>
      </c>
      <c r="Q25" s="226">
        <f t="shared" si="18"/>
        <v>0</v>
      </c>
      <c r="R25" s="226">
        <f>(IF(Q25&gt;0,Q25*(1+$D$74),0))*2</f>
        <v>0</v>
      </c>
      <c r="S25" s="226">
        <f>(IF(R25&gt;0,R25*(1+$D$74),0))</f>
        <v>0</v>
      </c>
      <c r="T25" s="226">
        <f aca="true" t="shared" si="19" ref="T25:V25">(IF(S25&gt;0,S25*(1+$D$74),0))</f>
        <v>0</v>
      </c>
      <c r="U25" s="226">
        <f t="shared" si="19"/>
        <v>0</v>
      </c>
      <c r="V25" s="226">
        <f t="shared" si="19"/>
        <v>0</v>
      </c>
      <c r="W25" s="226">
        <f>(IF(V25&gt;0,V25*(1+$D$74),0))*1.5</f>
        <v>0</v>
      </c>
      <c r="X25" s="226">
        <f>(IF(W25&gt;0,W25*(1+$D$74),0))</f>
        <v>0</v>
      </c>
      <c r="Y25" s="226">
        <f aca="true" t="shared" si="20" ref="Y25:AF25">(IF(X25&gt;0,X25*(1+$D$74),0))</f>
        <v>0</v>
      </c>
      <c r="Z25" s="226">
        <f t="shared" si="20"/>
        <v>0</v>
      </c>
      <c r="AA25" s="226">
        <f t="shared" si="20"/>
        <v>0</v>
      </c>
      <c r="AB25" s="226">
        <f t="shared" si="20"/>
        <v>0</v>
      </c>
      <c r="AC25" s="226">
        <f t="shared" si="20"/>
        <v>0</v>
      </c>
      <c r="AD25" s="226">
        <f t="shared" si="20"/>
        <v>0</v>
      </c>
      <c r="AE25" s="226">
        <f t="shared" si="20"/>
        <v>0</v>
      </c>
      <c r="AF25" s="226">
        <f t="shared" si="20"/>
        <v>0</v>
      </c>
      <c r="AG25" s="226">
        <f>(IF(AF25&gt;0,AF25*(1+$D$74),0))*1.33333</f>
        <v>0</v>
      </c>
      <c r="AH25" s="226">
        <f>(IF(AG25&gt;0,AG25*(1+$D$74),0))</f>
        <v>0</v>
      </c>
      <c r="AI25" s="226">
        <f aca="true" t="shared" si="21" ref="AI25:AZ25">(IF(AH25&gt;0,AH25*(1+$D$74),0))</f>
        <v>0</v>
      </c>
      <c r="AJ25" s="226">
        <f t="shared" si="21"/>
        <v>0</v>
      </c>
      <c r="AK25" s="226">
        <f t="shared" si="21"/>
        <v>0</v>
      </c>
      <c r="AL25" s="226">
        <f t="shared" si="21"/>
        <v>0</v>
      </c>
      <c r="AM25" s="226">
        <f t="shared" si="21"/>
        <v>0</v>
      </c>
      <c r="AN25" s="226">
        <f t="shared" si="21"/>
        <v>0</v>
      </c>
      <c r="AO25" s="226">
        <f t="shared" si="21"/>
        <v>0</v>
      </c>
      <c r="AP25" s="226">
        <f t="shared" si="21"/>
        <v>0</v>
      </c>
      <c r="AQ25" s="226">
        <f t="shared" si="21"/>
        <v>0</v>
      </c>
      <c r="AR25" s="226">
        <f t="shared" si="21"/>
        <v>0</v>
      </c>
      <c r="AS25" s="226">
        <f t="shared" si="21"/>
        <v>0</v>
      </c>
      <c r="AT25" s="226">
        <f t="shared" si="21"/>
        <v>0</v>
      </c>
      <c r="AU25" s="226">
        <f t="shared" si="21"/>
        <v>0</v>
      </c>
      <c r="AV25" s="226">
        <f t="shared" si="21"/>
        <v>0</v>
      </c>
      <c r="AW25" s="226">
        <f t="shared" si="21"/>
        <v>0</v>
      </c>
      <c r="AX25" s="226">
        <f t="shared" si="21"/>
        <v>0</v>
      </c>
      <c r="AY25" s="226">
        <f t="shared" si="21"/>
        <v>0</v>
      </c>
      <c r="AZ25" s="226">
        <f t="shared" si="21"/>
        <v>0</v>
      </c>
    </row>
    <row r="26" spans="2:52" ht="15">
      <c r="B26" s="218"/>
      <c r="C26" s="219" t="s">
        <v>265</v>
      </c>
      <c r="D26" s="219" t="s">
        <v>71</v>
      </c>
      <c r="E26" s="228">
        <v>3.045</v>
      </c>
      <c r="F26" s="220">
        <f>E26*VLOOKUP('Green+Social Interface'!$I$38,'Look-ups'!$A$15:$B$43,2,0)</f>
        <v>3.2277</v>
      </c>
      <c r="G26" s="221"/>
      <c r="H26" s="222"/>
      <c r="I26" s="223"/>
      <c r="J26" s="224">
        <f t="shared" si="17"/>
        <v>0</v>
      </c>
      <c r="K26" s="224">
        <f t="shared" si="12"/>
        <v>0</v>
      </c>
      <c r="L26" s="225">
        <f t="shared" si="13"/>
        <v>0</v>
      </c>
      <c r="M26" s="226">
        <f>IF('Green+Social Interface'!U11&gt;0,('Green+Social Interface'!$U$77*'Green+Social Interface'!$Z$68*((ROUNDDOWN(($D$77-('Green+Social Interface'!$F$61-'Green+Social Interface'!$F$62))/'Green+Social Interface'!$U$11*100,-1)/10)*0.5)*'Green Infrastructure'!$F$26),0)</f>
        <v>0</v>
      </c>
      <c r="N26" s="226">
        <f aca="true" t="shared" si="22" ref="N26:AZ26">IF(M26&gt;0,M26*(1+$D$74),0)</f>
        <v>0</v>
      </c>
      <c r="O26" s="226">
        <f t="shared" si="22"/>
        <v>0</v>
      </c>
      <c r="P26" s="226">
        <f t="shared" si="22"/>
        <v>0</v>
      </c>
      <c r="Q26" s="226">
        <f t="shared" si="22"/>
        <v>0</v>
      </c>
      <c r="R26" s="226">
        <f t="shared" si="22"/>
        <v>0</v>
      </c>
      <c r="S26" s="226">
        <f t="shared" si="22"/>
        <v>0</v>
      </c>
      <c r="T26" s="226">
        <f t="shared" si="22"/>
        <v>0</v>
      </c>
      <c r="U26" s="226">
        <f t="shared" si="22"/>
        <v>0</v>
      </c>
      <c r="V26" s="226">
        <f t="shared" si="22"/>
        <v>0</v>
      </c>
      <c r="W26" s="226">
        <f t="shared" si="22"/>
        <v>0</v>
      </c>
      <c r="X26" s="226">
        <f t="shared" si="22"/>
        <v>0</v>
      </c>
      <c r="Y26" s="226">
        <f t="shared" si="22"/>
        <v>0</v>
      </c>
      <c r="Z26" s="226">
        <f t="shared" si="22"/>
        <v>0</v>
      </c>
      <c r="AA26" s="226">
        <f t="shared" si="22"/>
        <v>0</v>
      </c>
      <c r="AB26" s="226">
        <f t="shared" si="22"/>
        <v>0</v>
      </c>
      <c r="AC26" s="226">
        <f t="shared" si="22"/>
        <v>0</v>
      </c>
      <c r="AD26" s="226">
        <f t="shared" si="22"/>
        <v>0</v>
      </c>
      <c r="AE26" s="226">
        <f t="shared" si="22"/>
        <v>0</v>
      </c>
      <c r="AF26" s="226">
        <f t="shared" si="22"/>
        <v>0</v>
      </c>
      <c r="AG26" s="226">
        <f t="shared" si="22"/>
        <v>0</v>
      </c>
      <c r="AH26" s="226">
        <f t="shared" si="22"/>
        <v>0</v>
      </c>
      <c r="AI26" s="226">
        <f t="shared" si="22"/>
        <v>0</v>
      </c>
      <c r="AJ26" s="226">
        <f t="shared" si="22"/>
        <v>0</v>
      </c>
      <c r="AK26" s="226">
        <f t="shared" si="22"/>
        <v>0</v>
      </c>
      <c r="AL26" s="226">
        <f t="shared" si="22"/>
        <v>0</v>
      </c>
      <c r="AM26" s="226">
        <f t="shared" si="22"/>
        <v>0</v>
      </c>
      <c r="AN26" s="226">
        <f t="shared" si="22"/>
        <v>0</v>
      </c>
      <c r="AO26" s="226">
        <f t="shared" si="22"/>
        <v>0</v>
      </c>
      <c r="AP26" s="226">
        <f t="shared" si="22"/>
        <v>0</v>
      </c>
      <c r="AQ26" s="226">
        <f t="shared" si="22"/>
        <v>0</v>
      </c>
      <c r="AR26" s="226">
        <f t="shared" si="22"/>
        <v>0</v>
      </c>
      <c r="AS26" s="226">
        <f t="shared" si="22"/>
        <v>0</v>
      </c>
      <c r="AT26" s="226">
        <f t="shared" si="22"/>
        <v>0</v>
      </c>
      <c r="AU26" s="226">
        <f t="shared" si="22"/>
        <v>0</v>
      </c>
      <c r="AV26" s="226">
        <f t="shared" si="22"/>
        <v>0</v>
      </c>
      <c r="AW26" s="226">
        <f t="shared" si="22"/>
        <v>0</v>
      </c>
      <c r="AX26" s="226">
        <f t="shared" si="22"/>
        <v>0</v>
      </c>
      <c r="AY26" s="226">
        <f t="shared" si="22"/>
        <v>0</v>
      </c>
      <c r="AZ26" s="226">
        <f t="shared" si="22"/>
        <v>0</v>
      </c>
    </row>
    <row r="27" spans="2:52" ht="15">
      <c r="B27" s="330" t="s">
        <v>640</v>
      </c>
      <c r="C27" s="219" t="s">
        <v>267</v>
      </c>
      <c r="D27" s="219" t="s">
        <v>71</v>
      </c>
      <c r="E27" s="253">
        <v>14.175</v>
      </c>
      <c r="F27" s="220">
        <f>E27*VLOOKUP('Green+Social Interface'!$I$38,'Look-ups'!$A$15:$B$43,2,0)</f>
        <v>15.025500000000001</v>
      </c>
      <c r="G27" s="221"/>
      <c r="H27" s="222"/>
      <c r="I27" s="223"/>
      <c r="J27" s="224">
        <f t="shared" si="17"/>
        <v>0</v>
      </c>
      <c r="K27" s="224">
        <f t="shared" si="12"/>
        <v>0</v>
      </c>
      <c r="L27" s="225">
        <f t="shared" si="13"/>
        <v>0</v>
      </c>
      <c r="M27" s="226">
        <f>IF('Green+Social Interface'!U11&gt;0,(($D$73*((ROUNDDOWN(($D$76-'Green+Social Interface'!$F$62)/'Green+Social Interface'!$U$11*100,-1)/10)*1.13)*'Green Infrastructure'!$F$27)*0.25),0)</f>
        <v>0</v>
      </c>
      <c r="N27" s="226">
        <f aca="true" t="shared" si="23" ref="N27:Q27">IF(M27&gt;0,M27*(1+$D$74),0)</f>
        <v>0</v>
      </c>
      <c r="O27" s="226">
        <f t="shared" si="23"/>
        <v>0</v>
      </c>
      <c r="P27" s="226">
        <f t="shared" si="23"/>
        <v>0</v>
      </c>
      <c r="Q27" s="226">
        <f t="shared" si="23"/>
        <v>0</v>
      </c>
      <c r="R27" s="226">
        <f>(IF(Q27&gt;0,Q27*(1+$D$74),0))*2</f>
        <v>0</v>
      </c>
      <c r="S27" s="226">
        <f>(IF(R27&gt;0,R27*(1+$D$74),0))</f>
        <v>0</v>
      </c>
      <c r="T27" s="226">
        <f aca="true" t="shared" si="24" ref="T27:V27">(IF(S27&gt;0,S27*(1+$D$74),0))</f>
        <v>0</v>
      </c>
      <c r="U27" s="226">
        <f t="shared" si="24"/>
        <v>0</v>
      </c>
      <c r="V27" s="226">
        <f t="shared" si="24"/>
        <v>0</v>
      </c>
      <c r="W27" s="226">
        <f>(IF(V27&gt;0,V27*(1+$D$74),0))*1.5</f>
        <v>0</v>
      </c>
      <c r="X27" s="226">
        <f>(IF(W27&gt;0,W27*(1+$D$74),0))</f>
        <v>0</v>
      </c>
      <c r="Y27" s="226">
        <f aca="true" t="shared" si="25" ref="Y27:AF27">(IF(X27&gt;0,X27*(1+$D$74),0))</f>
        <v>0</v>
      </c>
      <c r="Z27" s="226">
        <f t="shared" si="25"/>
        <v>0</v>
      </c>
      <c r="AA27" s="226">
        <f t="shared" si="25"/>
        <v>0</v>
      </c>
      <c r="AB27" s="226">
        <f t="shared" si="25"/>
        <v>0</v>
      </c>
      <c r="AC27" s="226">
        <f t="shared" si="25"/>
        <v>0</v>
      </c>
      <c r="AD27" s="226">
        <f t="shared" si="25"/>
        <v>0</v>
      </c>
      <c r="AE27" s="226">
        <f t="shared" si="25"/>
        <v>0</v>
      </c>
      <c r="AF27" s="226">
        <f t="shared" si="25"/>
        <v>0</v>
      </c>
      <c r="AG27" s="226">
        <f>(IF(AF27&gt;0,AF27*(1+$D$74),0))*1.33333</f>
        <v>0</v>
      </c>
      <c r="AH27" s="226">
        <f>(IF(AG27&gt;0,AG27*(1+$D$74),0))</f>
        <v>0</v>
      </c>
      <c r="AI27" s="226">
        <f aca="true" t="shared" si="26" ref="AI27:AZ27">(IF(AH27&gt;0,AH27*(1+$D$74),0))</f>
        <v>0</v>
      </c>
      <c r="AJ27" s="226">
        <f t="shared" si="26"/>
        <v>0</v>
      </c>
      <c r="AK27" s="226">
        <f t="shared" si="26"/>
        <v>0</v>
      </c>
      <c r="AL27" s="226">
        <f t="shared" si="26"/>
        <v>0</v>
      </c>
      <c r="AM27" s="226">
        <f t="shared" si="26"/>
        <v>0</v>
      </c>
      <c r="AN27" s="226">
        <f t="shared" si="26"/>
        <v>0</v>
      </c>
      <c r="AO27" s="226">
        <f t="shared" si="26"/>
        <v>0</v>
      </c>
      <c r="AP27" s="226">
        <f t="shared" si="26"/>
        <v>0</v>
      </c>
      <c r="AQ27" s="226">
        <f t="shared" si="26"/>
        <v>0</v>
      </c>
      <c r="AR27" s="226">
        <f t="shared" si="26"/>
        <v>0</v>
      </c>
      <c r="AS27" s="226">
        <f t="shared" si="26"/>
        <v>0</v>
      </c>
      <c r="AT27" s="226">
        <f t="shared" si="26"/>
        <v>0</v>
      </c>
      <c r="AU27" s="226">
        <f t="shared" si="26"/>
        <v>0</v>
      </c>
      <c r="AV27" s="226">
        <f t="shared" si="26"/>
        <v>0</v>
      </c>
      <c r="AW27" s="226">
        <f t="shared" si="26"/>
        <v>0</v>
      </c>
      <c r="AX27" s="226">
        <f t="shared" si="26"/>
        <v>0</v>
      </c>
      <c r="AY27" s="226">
        <f t="shared" si="26"/>
        <v>0</v>
      </c>
      <c r="AZ27" s="226">
        <f t="shared" si="26"/>
        <v>0</v>
      </c>
    </row>
    <row r="28" spans="2:52" ht="15">
      <c r="B28" s="218"/>
      <c r="C28" s="219" t="s">
        <v>268</v>
      </c>
      <c r="D28" s="219" t="s">
        <v>71</v>
      </c>
      <c r="E28" s="253">
        <v>14.175</v>
      </c>
      <c r="F28" s="220">
        <f>E28*VLOOKUP('Green+Social Interface'!$I$38,'Look-ups'!$A$15:$B$43,2,0)</f>
        <v>15.025500000000001</v>
      </c>
      <c r="G28" s="221"/>
      <c r="H28" s="222"/>
      <c r="I28" s="223"/>
      <c r="J28" s="224">
        <f t="shared" si="17"/>
        <v>0</v>
      </c>
      <c r="K28" s="224">
        <f t="shared" si="12"/>
        <v>0</v>
      </c>
      <c r="L28" s="225">
        <f t="shared" si="13"/>
        <v>0</v>
      </c>
      <c r="M28" s="226">
        <f>IF('Green+Social Interface'!U11&gt;0,($D$73*((ROUNDDOWN(($D$77-('Green+Social Interface'!$F$61-'Green+Social Interface'!$F$62))/'Green+Social Interface'!$U$11*100,-1)/10)*0.5)*'Green Infrastructure'!$F$28),0)</f>
        <v>0</v>
      </c>
      <c r="N28" s="226">
        <f aca="true" t="shared" si="27" ref="N28:AZ28">IF(M28&gt;0,M28*(1+$D$74),0)</f>
        <v>0</v>
      </c>
      <c r="O28" s="226">
        <f t="shared" si="27"/>
        <v>0</v>
      </c>
      <c r="P28" s="226">
        <f t="shared" si="27"/>
        <v>0</v>
      </c>
      <c r="Q28" s="226">
        <f t="shared" si="27"/>
        <v>0</v>
      </c>
      <c r="R28" s="226">
        <f t="shared" si="27"/>
        <v>0</v>
      </c>
      <c r="S28" s="226">
        <f t="shared" si="27"/>
        <v>0</v>
      </c>
      <c r="T28" s="226">
        <f t="shared" si="27"/>
        <v>0</v>
      </c>
      <c r="U28" s="226">
        <f t="shared" si="27"/>
        <v>0</v>
      </c>
      <c r="V28" s="226">
        <f t="shared" si="27"/>
        <v>0</v>
      </c>
      <c r="W28" s="226">
        <f t="shared" si="27"/>
        <v>0</v>
      </c>
      <c r="X28" s="226">
        <f t="shared" si="27"/>
        <v>0</v>
      </c>
      <c r="Y28" s="226">
        <f t="shared" si="27"/>
        <v>0</v>
      </c>
      <c r="Z28" s="226">
        <f t="shared" si="27"/>
        <v>0</v>
      </c>
      <c r="AA28" s="226">
        <f t="shared" si="27"/>
        <v>0</v>
      </c>
      <c r="AB28" s="226">
        <f t="shared" si="27"/>
        <v>0</v>
      </c>
      <c r="AC28" s="226">
        <f t="shared" si="27"/>
        <v>0</v>
      </c>
      <c r="AD28" s="226">
        <f t="shared" si="27"/>
        <v>0</v>
      </c>
      <c r="AE28" s="226">
        <f t="shared" si="27"/>
        <v>0</v>
      </c>
      <c r="AF28" s="226">
        <f t="shared" si="27"/>
        <v>0</v>
      </c>
      <c r="AG28" s="226">
        <f t="shared" si="27"/>
        <v>0</v>
      </c>
      <c r="AH28" s="226">
        <f t="shared" si="27"/>
        <v>0</v>
      </c>
      <c r="AI28" s="226">
        <f t="shared" si="27"/>
        <v>0</v>
      </c>
      <c r="AJ28" s="226">
        <f t="shared" si="27"/>
        <v>0</v>
      </c>
      <c r="AK28" s="226">
        <f t="shared" si="27"/>
        <v>0</v>
      </c>
      <c r="AL28" s="226">
        <f t="shared" si="27"/>
        <v>0</v>
      </c>
      <c r="AM28" s="226">
        <f t="shared" si="27"/>
        <v>0</v>
      </c>
      <c r="AN28" s="226">
        <f t="shared" si="27"/>
        <v>0</v>
      </c>
      <c r="AO28" s="226">
        <f t="shared" si="27"/>
        <v>0</v>
      </c>
      <c r="AP28" s="226">
        <f t="shared" si="27"/>
        <v>0</v>
      </c>
      <c r="AQ28" s="226">
        <f t="shared" si="27"/>
        <v>0</v>
      </c>
      <c r="AR28" s="226">
        <f t="shared" si="27"/>
        <v>0</v>
      </c>
      <c r="AS28" s="226">
        <f t="shared" si="27"/>
        <v>0</v>
      </c>
      <c r="AT28" s="226">
        <f t="shared" si="27"/>
        <v>0</v>
      </c>
      <c r="AU28" s="226">
        <f t="shared" si="27"/>
        <v>0</v>
      </c>
      <c r="AV28" s="226">
        <f t="shared" si="27"/>
        <v>0</v>
      </c>
      <c r="AW28" s="226">
        <f t="shared" si="27"/>
        <v>0</v>
      </c>
      <c r="AX28" s="226">
        <f t="shared" si="27"/>
        <v>0</v>
      </c>
      <c r="AY28" s="226">
        <f t="shared" si="27"/>
        <v>0</v>
      </c>
      <c r="AZ28" s="226">
        <f t="shared" si="27"/>
        <v>0</v>
      </c>
    </row>
    <row r="29" spans="2:52" ht="15">
      <c r="B29" s="330" t="s">
        <v>640</v>
      </c>
      <c r="C29" s="219" t="s">
        <v>270</v>
      </c>
      <c r="D29" s="219" t="s">
        <v>67</v>
      </c>
      <c r="E29" s="336">
        <v>0.035</v>
      </c>
      <c r="F29" s="337" t="s">
        <v>644</v>
      </c>
      <c r="G29" s="336"/>
      <c r="H29" s="222"/>
      <c r="I29" s="223"/>
      <c r="J29" s="338">
        <f t="shared" si="17"/>
        <v>0</v>
      </c>
      <c r="K29" s="338">
        <f t="shared" si="12"/>
        <v>0</v>
      </c>
      <c r="L29" s="339">
        <f t="shared" si="13"/>
        <v>0</v>
      </c>
      <c r="M29" s="220">
        <f>IF('Green+Social Interface'!$U$11&gt;0,(($D$73*((ROUNDDOWN(($D$76-'Green+Social Interface'!$F$62)/'Green+Social Interface'!$U$11*100,-1)/10)*1.13)*'Green Infrastructure'!$E$29)*0.25),0)</f>
        <v>0</v>
      </c>
      <c r="N29" s="220">
        <f>IF('Green+Social Interface'!$U$11&gt;0,(($D$73*((ROUNDDOWN(($D$76-'Green+Social Interface'!$F$62)/'Green+Social Interface'!$U$11*100,-1)/10)*1.13)*'Green Infrastructure'!$E$29)*0.25),0)</f>
        <v>0</v>
      </c>
      <c r="O29" s="220">
        <f>IF('Green+Social Interface'!$U$11&gt;0,(($D$73*((ROUNDDOWN(($D$76-'Green+Social Interface'!$F$62)/'Green+Social Interface'!$U$11*100,-1)/10)*1.13)*'Green Infrastructure'!$E$29)*0.25),0)</f>
        <v>0</v>
      </c>
      <c r="P29" s="220">
        <f>IF('Green+Social Interface'!$U$11&gt;0,(($D$73*((ROUNDDOWN(($D$76-'Green+Social Interface'!$F$62)/'Green+Social Interface'!$U$11*100,-1)/10)*1.13)*'Green Infrastructure'!$E$29)*0.25),0)</f>
        <v>0</v>
      </c>
      <c r="Q29" s="220">
        <f>IF('Green+Social Interface'!$U$11&gt;0,(($D$73*((ROUNDDOWN(($D$76-'Green+Social Interface'!$F$62)/'Green+Social Interface'!$U$11*100,-1)/10)*1.13)*'Green Infrastructure'!$E$29)*0.25),0)</f>
        <v>0</v>
      </c>
      <c r="R29" s="220">
        <f>IF('Green+Social Interface'!$U$11&gt;0,(($D$73*((ROUNDDOWN(($D$76-'Green+Social Interface'!$F$62)/'Green+Social Interface'!$U$11*100,-1)/10)*1.13)*'Green Infrastructure'!$E$29)*0.5),0)</f>
        <v>0</v>
      </c>
      <c r="S29" s="220">
        <f>IF('Green+Social Interface'!$U$11&gt;0,(($D$73*((ROUNDDOWN(($D$76-'Green+Social Interface'!$F$62)/'Green+Social Interface'!$U$11*100,-1)/10)*1.13)*'Green Infrastructure'!$E$29)*0.5),0)</f>
        <v>0</v>
      </c>
      <c r="T29" s="220">
        <f>IF('Green+Social Interface'!$U$11&gt;0,(($D$73*((ROUNDDOWN(($D$76-'Green+Social Interface'!$F$62)/'Green+Social Interface'!$U$11*100,-1)/10)*1.13)*'Green Infrastructure'!$E$29)*0.5),0)</f>
        <v>0</v>
      </c>
      <c r="U29" s="220">
        <f>IF('Green+Social Interface'!$U$11&gt;0,(($D$73*((ROUNDDOWN(($D$76-'Green+Social Interface'!$F$62)/'Green+Social Interface'!$U$11*100,-1)/10)*1.13)*'Green Infrastructure'!$E$29)*0.5),0)</f>
        <v>0</v>
      </c>
      <c r="V29" s="220">
        <f>IF('Green+Social Interface'!$U$11&gt;0,(($D$73*((ROUNDDOWN(($D$76-'Green+Social Interface'!$F$62)/'Green+Social Interface'!$U$11*100,-1)/10)*1.13)*'Green Infrastructure'!$E$29)*0.5),0)</f>
        <v>0</v>
      </c>
      <c r="W29" s="220">
        <f>IF('Green+Social Interface'!$U$11&gt;0,(($D$73*((ROUNDDOWN(($D$76-'Green+Social Interface'!$F$62)/'Green+Social Interface'!$U$11*100,-1)/10)*1.13)*'Green Infrastructure'!$E$29)*0.75),0)</f>
        <v>0</v>
      </c>
      <c r="X29" s="220">
        <f>IF('Green+Social Interface'!$U$11&gt;0,(($D$73*((ROUNDDOWN(($D$76-'Green+Social Interface'!$F$62)/'Green+Social Interface'!$U$11*100,-1)/10)*1.13)*'Green Infrastructure'!$E$29)*0.75),0)</f>
        <v>0</v>
      </c>
      <c r="Y29" s="220">
        <f>IF('Green+Social Interface'!$U$11&gt;0,(($D$73*((ROUNDDOWN(($D$76-'Green+Social Interface'!$F$62)/'Green+Social Interface'!$U$11*100,-1)/10)*1.13)*'Green Infrastructure'!$E$29)*0.75),0)</f>
        <v>0</v>
      </c>
      <c r="Z29" s="220">
        <f>IF('Green+Social Interface'!$U$11&gt;0,(($D$73*((ROUNDDOWN(($D$76-'Green+Social Interface'!$F$62)/'Green+Social Interface'!$U$11*100,-1)/10)*1.13)*'Green Infrastructure'!$E$29)*0.75),0)</f>
        <v>0</v>
      </c>
      <c r="AA29" s="220">
        <f>IF('Green+Social Interface'!$U$11&gt;0,(($D$73*((ROUNDDOWN(($D$76-'Green+Social Interface'!$F$62)/'Green+Social Interface'!$U$11*100,-1)/10)*1.13)*'Green Infrastructure'!$E$29)*0.75),0)</f>
        <v>0</v>
      </c>
      <c r="AB29" s="220">
        <f>IF('Green+Social Interface'!$U$11&gt;0,(($D$73*((ROUNDDOWN(($D$76-'Green+Social Interface'!$F$62)/'Green+Social Interface'!$U$11*100,-1)/10)*1.13)*'Green Infrastructure'!$E$29)*0.75),0)</f>
        <v>0</v>
      </c>
      <c r="AC29" s="220">
        <f>IF('Green+Social Interface'!$U$11&gt;0,(($D$73*((ROUNDDOWN(($D$76-'Green+Social Interface'!$F$62)/'Green+Social Interface'!$U$11*100,-1)/10)*1.13)*'Green Infrastructure'!$E$29)*0.75),0)</f>
        <v>0</v>
      </c>
      <c r="AD29" s="220">
        <f>IF('Green+Social Interface'!$U$11&gt;0,(($D$73*((ROUNDDOWN(($D$76-'Green+Social Interface'!$F$62)/'Green+Social Interface'!$U$11*100,-1)/10)*1.13)*'Green Infrastructure'!$E$29)*0.75),0)</f>
        <v>0</v>
      </c>
      <c r="AE29" s="220">
        <f>IF('Green+Social Interface'!$U$11&gt;0,(($D$73*((ROUNDDOWN(($D$76-'Green+Social Interface'!$F$62)/'Green+Social Interface'!$U$11*100,-1)/10)*1.13)*'Green Infrastructure'!$E$29)*0.75),0)</f>
        <v>0</v>
      </c>
      <c r="AF29" s="220">
        <f>IF('Green+Social Interface'!$U$11&gt;0,(($D$73*((ROUNDDOWN(($D$76-'Green+Social Interface'!$F$62)/'Green+Social Interface'!$U$11*100,-1)/10)*1.13)*'Green Infrastructure'!$E$29)*0.75),0)</f>
        <v>0</v>
      </c>
      <c r="AG29" s="220">
        <f>IF('Green+Social Interface'!$U$11&gt;0,(($D$73*((ROUNDDOWN(($D$76-'Green+Social Interface'!$F$62)/'Green+Social Interface'!$U$11*100,-1)/10)*1.13)*'Green Infrastructure'!$E$29)),0)</f>
        <v>0</v>
      </c>
      <c r="AH29" s="220">
        <f>IF('Green+Social Interface'!$U$11&gt;0,(($D$73*((ROUNDDOWN(($D$76-'Green+Social Interface'!$F$62)/'Green+Social Interface'!$U$11*100,-1)/10)*1.13)*'Green Infrastructure'!$E$29)),0)</f>
        <v>0</v>
      </c>
      <c r="AI29" s="220">
        <f>IF('Green+Social Interface'!$U$11&gt;0,(($D$73*((ROUNDDOWN(($D$76-'Green+Social Interface'!$F$62)/'Green+Social Interface'!$U$11*100,-1)/10)*1.13)*'Green Infrastructure'!$E$29)),0)</f>
        <v>0</v>
      </c>
      <c r="AJ29" s="220">
        <f>IF('Green+Social Interface'!$U$11&gt;0,(($D$73*((ROUNDDOWN(($D$76-'Green+Social Interface'!$F$62)/'Green+Social Interface'!$U$11*100,-1)/10)*1.13)*'Green Infrastructure'!$E$29)),0)</f>
        <v>0</v>
      </c>
      <c r="AK29" s="220">
        <f>IF('Green+Social Interface'!$U$11&gt;0,(($D$73*((ROUNDDOWN(($D$76-'Green+Social Interface'!$F$62)/'Green+Social Interface'!$U$11*100,-1)/10)*1.13)*'Green Infrastructure'!$E$29)),0)</f>
        <v>0</v>
      </c>
      <c r="AL29" s="220">
        <f>IF('Green+Social Interface'!$U$11&gt;0,(($D$73*((ROUNDDOWN(($D$76-'Green+Social Interface'!$F$62)/'Green+Social Interface'!$U$11*100,-1)/10)*1.13)*'Green Infrastructure'!$E$29)),0)</f>
        <v>0</v>
      </c>
      <c r="AM29" s="220">
        <f>IF('Green+Social Interface'!$U$11&gt;0,(($D$73*((ROUNDDOWN(($D$76-'Green+Social Interface'!$F$62)/'Green+Social Interface'!$U$11*100,-1)/10)*1.13)*'Green Infrastructure'!$E$29)),0)</f>
        <v>0</v>
      </c>
      <c r="AN29" s="220">
        <f>IF('Green+Social Interface'!$U$11&gt;0,(($D$73*((ROUNDDOWN(($D$76-'Green+Social Interface'!$F$62)/'Green+Social Interface'!$U$11*100,-1)/10)*1.13)*'Green Infrastructure'!$E$29)),0)</f>
        <v>0</v>
      </c>
      <c r="AO29" s="220">
        <f>IF('Green+Social Interface'!$U$11&gt;0,(($D$73*((ROUNDDOWN(($D$76-'Green+Social Interface'!$F$62)/'Green+Social Interface'!$U$11*100,-1)/10)*1.13)*'Green Infrastructure'!$E$29)),0)</f>
        <v>0</v>
      </c>
      <c r="AP29" s="220">
        <f>IF('Green+Social Interface'!$U$11&gt;0,(($D$73*((ROUNDDOWN(($D$76-'Green+Social Interface'!$F$62)/'Green+Social Interface'!$U$11*100,-1)/10)*1.13)*'Green Infrastructure'!$E$29)),0)</f>
        <v>0</v>
      </c>
      <c r="AQ29" s="220">
        <f>IF('Green+Social Interface'!$U$11&gt;0,(($D$73*((ROUNDDOWN(($D$76-'Green+Social Interface'!$F$62)/'Green+Social Interface'!$U$11*100,-1)/10)*1.13)*'Green Infrastructure'!$E$29)),0)</f>
        <v>0</v>
      </c>
      <c r="AR29" s="220">
        <f>IF('Green+Social Interface'!$U$11&gt;0,(($D$73*((ROUNDDOWN(($D$76-'Green+Social Interface'!$F$62)/'Green+Social Interface'!$U$11*100,-1)/10)*1.13)*'Green Infrastructure'!$E$29)),0)</f>
        <v>0</v>
      </c>
      <c r="AS29" s="220">
        <f>IF('Green+Social Interface'!$U$11&gt;0,(($D$73*((ROUNDDOWN(($D$76-'Green+Social Interface'!$F$62)/'Green+Social Interface'!$U$11*100,-1)/10)*1.13)*'Green Infrastructure'!$E$29)),0)</f>
        <v>0</v>
      </c>
      <c r="AT29" s="220">
        <f>IF('Green+Social Interface'!$U$11&gt;0,(($D$73*((ROUNDDOWN(($D$76-'Green+Social Interface'!$F$62)/'Green+Social Interface'!$U$11*100,-1)/10)*1.13)*'Green Infrastructure'!$E$29)),0)</f>
        <v>0</v>
      </c>
      <c r="AU29" s="220">
        <f>IF('Green+Social Interface'!$U$11&gt;0,(($D$73*((ROUNDDOWN(($D$76-'Green+Social Interface'!$F$62)/'Green+Social Interface'!$U$11*100,-1)/10)*1.13)*'Green Infrastructure'!$E$29)),0)</f>
        <v>0</v>
      </c>
      <c r="AV29" s="220">
        <f>IF('Green+Social Interface'!$U$11&gt;0,(($D$73*((ROUNDDOWN(($D$76-'Green+Social Interface'!$F$62)/'Green+Social Interface'!$U$11*100,-1)/10)*1.13)*'Green Infrastructure'!$E$29)),0)</f>
        <v>0</v>
      </c>
      <c r="AW29" s="220">
        <f>IF('Green+Social Interface'!$U$11&gt;0,(($D$73*((ROUNDDOWN(($D$76-'Green+Social Interface'!$F$62)/'Green+Social Interface'!$U$11*100,-1)/10)*1.13)*'Green Infrastructure'!$E$29)),0)</f>
        <v>0</v>
      </c>
      <c r="AX29" s="220">
        <f>IF('Green+Social Interface'!$U$11&gt;0,(($D$73*((ROUNDDOWN(($D$76-'Green+Social Interface'!$F$62)/'Green+Social Interface'!$U$11*100,-1)/10)*1.13)*'Green Infrastructure'!$E$29)),0)</f>
        <v>0</v>
      </c>
      <c r="AY29" s="220">
        <f>IF('Green+Social Interface'!$U$11&gt;0,(($D$73*((ROUNDDOWN(($D$76-'Green+Social Interface'!$F$62)/'Green+Social Interface'!$U$11*100,-1)/10)*1.13)*'Green Infrastructure'!$E$29)),0)</f>
        <v>0</v>
      </c>
      <c r="AZ29" s="220">
        <f>IF('Green+Social Interface'!$U$11&gt;0,(($D$73*((ROUNDDOWN(($D$76-'Green+Social Interface'!$F$62)/'Green+Social Interface'!$U$11*100,-1)/10)*1.13)*'Green Infrastructure'!$E$29)),0)</f>
        <v>0</v>
      </c>
    </row>
    <row r="30" spans="2:52" ht="15">
      <c r="B30" s="218"/>
      <c r="C30" s="219" t="s">
        <v>271</v>
      </c>
      <c r="D30" s="219" t="s">
        <v>67</v>
      </c>
      <c r="E30" s="336">
        <v>0.035</v>
      </c>
      <c r="F30" s="337" t="s">
        <v>644</v>
      </c>
      <c r="G30" s="336"/>
      <c r="H30" s="222"/>
      <c r="I30" s="223"/>
      <c r="J30" s="338">
        <f t="shared" si="17"/>
        <v>0</v>
      </c>
      <c r="K30" s="338">
        <f t="shared" si="12"/>
        <v>0</v>
      </c>
      <c r="L30" s="339">
        <f t="shared" si="13"/>
        <v>0</v>
      </c>
      <c r="M30" s="220">
        <f>IF('Green+Social Interface'!$U$11&gt;0,(($D$73*((ROUNDDOWN(($D$77-('Green+Social Interface'!$F$61-'Green+Social Interface'!$F$62))/'Green+Social Interface'!$U$11*100,-1)/10)*0.5)*'Green Infrastructure'!$E$30)),0)</f>
        <v>0</v>
      </c>
      <c r="N30" s="220">
        <f>IF('Green+Social Interface'!$U$11&gt;0,(($D$73*((ROUNDDOWN(($D$77-('Green+Social Interface'!$F$61-'Green+Social Interface'!$F$62))/'Green+Social Interface'!$U$11*100,-1)/10)*0.5)*'Green Infrastructure'!$E$30)),0)</f>
        <v>0</v>
      </c>
      <c r="O30" s="220">
        <f>IF('Green+Social Interface'!$U$11&gt;0,(($D$73*((ROUNDDOWN(($D$77-('Green+Social Interface'!$F$61-'Green+Social Interface'!$F$62))/'Green+Social Interface'!$U$11*100,-1)/10)*0.5)*'Green Infrastructure'!$E$30)),0)</f>
        <v>0</v>
      </c>
      <c r="P30" s="220">
        <f>IF('Green+Social Interface'!$U$11&gt;0,(($D$73*((ROUNDDOWN(($D$77-('Green+Social Interface'!$F$61-'Green+Social Interface'!$F$62))/'Green+Social Interface'!$U$11*100,-1)/10)*0.5)*'Green Infrastructure'!$E$30)),0)</f>
        <v>0</v>
      </c>
      <c r="Q30" s="220">
        <f>IF('Green+Social Interface'!$U$11&gt;0,(($D$73*((ROUNDDOWN(($D$77-('Green+Social Interface'!$F$61-'Green+Social Interface'!$F$62))/'Green+Social Interface'!$U$11*100,-1)/10)*0.5)*'Green Infrastructure'!$E$30)),0)</f>
        <v>0</v>
      </c>
      <c r="R30" s="220">
        <f>IF('Green+Social Interface'!$U$11&gt;0,(($D$73*((ROUNDDOWN(($D$77-('Green+Social Interface'!$F$61-'Green+Social Interface'!$F$62))/'Green+Social Interface'!$U$11*100,-1)/10)*0.5)*'Green Infrastructure'!$E$30)),0)</f>
        <v>0</v>
      </c>
      <c r="S30" s="220">
        <f>IF('Green+Social Interface'!$U$11&gt;0,(($D$73*((ROUNDDOWN(($D$77-('Green+Social Interface'!$F$61-'Green+Social Interface'!$F$62))/'Green+Social Interface'!$U$11*100,-1)/10)*0.5)*'Green Infrastructure'!$E$30)),0)</f>
        <v>0</v>
      </c>
      <c r="T30" s="220">
        <f>IF('Green+Social Interface'!$U$11&gt;0,(($D$73*((ROUNDDOWN(($D$77-('Green+Social Interface'!$F$61-'Green+Social Interface'!$F$62))/'Green+Social Interface'!$U$11*100,-1)/10)*0.5)*'Green Infrastructure'!$E$30)),0)</f>
        <v>0</v>
      </c>
      <c r="U30" s="220">
        <f>IF('Green+Social Interface'!$U$11&gt;0,(($D$73*((ROUNDDOWN(($D$77-('Green+Social Interface'!$F$61-'Green+Social Interface'!$F$62))/'Green+Social Interface'!$U$11*100,-1)/10)*0.5)*'Green Infrastructure'!$E$30)),0)</f>
        <v>0</v>
      </c>
      <c r="V30" s="220">
        <f>IF('Green+Social Interface'!$U$11&gt;0,(($D$73*((ROUNDDOWN(($D$77-('Green+Social Interface'!$F$61-'Green+Social Interface'!$F$62))/'Green+Social Interface'!$U$11*100,-1)/10)*0.5)*'Green Infrastructure'!$E$30)),0)</f>
        <v>0</v>
      </c>
      <c r="W30" s="220">
        <f>IF('Green+Social Interface'!$U$11&gt;0,(($D$73*((ROUNDDOWN(($D$77-('Green+Social Interface'!$F$61-'Green+Social Interface'!$F$62))/'Green+Social Interface'!$U$11*100,-1)/10)*0.5)*'Green Infrastructure'!$E$30)),0)</f>
        <v>0</v>
      </c>
      <c r="X30" s="220">
        <f>IF('Green+Social Interface'!$U$11&gt;0,(($D$73*((ROUNDDOWN(($D$77-('Green+Social Interface'!$F$61-'Green+Social Interface'!$F$62))/'Green+Social Interface'!$U$11*100,-1)/10)*0.5)*'Green Infrastructure'!$E$30)),0)</f>
        <v>0</v>
      </c>
      <c r="Y30" s="220">
        <f>IF('Green+Social Interface'!$U$11&gt;0,(($D$73*((ROUNDDOWN(($D$77-('Green+Social Interface'!$F$61-'Green+Social Interface'!$F$62))/'Green+Social Interface'!$U$11*100,-1)/10)*0.5)*'Green Infrastructure'!$E$30)),0)</f>
        <v>0</v>
      </c>
      <c r="Z30" s="220">
        <f>IF('Green+Social Interface'!$U$11&gt;0,(($D$73*((ROUNDDOWN(($D$77-('Green+Social Interface'!$F$61-'Green+Social Interface'!$F$62))/'Green+Social Interface'!$U$11*100,-1)/10)*0.5)*'Green Infrastructure'!$E$30)),0)</f>
        <v>0</v>
      </c>
      <c r="AA30" s="220">
        <f>IF('Green+Social Interface'!$U$11&gt;0,(($D$73*((ROUNDDOWN(($D$77-('Green+Social Interface'!$F$61-'Green+Social Interface'!$F$62))/'Green+Social Interface'!$U$11*100,-1)/10)*0.5)*'Green Infrastructure'!$E$30)),0)</f>
        <v>0</v>
      </c>
      <c r="AB30" s="220">
        <f>IF('Green+Social Interface'!$U$11&gt;0,(($D$73*((ROUNDDOWN(($D$77-('Green+Social Interface'!$F$61-'Green+Social Interface'!$F$62))/'Green+Social Interface'!$U$11*100,-1)/10)*0.5)*'Green Infrastructure'!$E$30)),0)</f>
        <v>0</v>
      </c>
      <c r="AC30" s="220">
        <f>IF('Green+Social Interface'!$U$11&gt;0,(($D$73*((ROUNDDOWN(($D$77-('Green+Social Interface'!$F$61-'Green+Social Interface'!$F$62))/'Green+Social Interface'!$U$11*100,-1)/10)*0.5)*'Green Infrastructure'!$E$30)),0)</f>
        <v>0</v>
      </c>
      <c r="AD30" s="220">
        <f>IF('Green+Social Interface'!$U$11&gt;0,(($D$73*((ROUNDDOWN(($D$77-('Green+Social Interface'!$F$61-'Green+Social Interface'!$F$62))/'Green+Social Interface'!$U$11*100,-1)/10)*0.5)*'Green Infrastructure'!$E$30)),0)</f>
        <v>0</v>
      </c>
      <c r="AE30" s="220">
        <f>IF('Green+Social Interface'!$U$11&gt;0,(($D$73*((ROUNDDOWN(($D$77-('Green+Social Interface'!$F$61-'Green+Social Interface'!$F$62))/'Green+Social Interface'!$U$11*100,-1)/10)*0.5)*'Green Infrastructure'!$E$30)),0)</f>
        <v>0</v>
      </c>
      <c r="AF30" s="220">
        <f>IF('Green+Social Interface'!$U$11&gt;0,(($D$73*((ROUNDDOWN(($D$77-('Green+Social Interface'!$F$61-'Green+Social Interface'!$F$62))/'Green+Social Interface'!$U$11*100,-1)/10)*0.5)*'Green Infrastructure'!$E$30)),0)</f>
        <v>0</v>
      </c>
      <c r="AG30" s="220">
        <f>IF('Green+Social Interface'!$U$11&gt;0,(($D$73*((ROUNDDOWN(($D$77-('Green+Social Interface'!$F$61-'Green+Social Interface'!$F$62))/'Green+Social Interface'!$U$11*100,-1)/10)*0.5)*'Green Infrastructure'!$E$30)),0)</f>
        <v>0</v>
      </c>
      <c r="AH30" s="220">
        <f>IF('Green+Social Interface'!$U$11&gt;0,(($D$73*((ROUNDDOWN(($D$77-('Green+Social Interface'!$F$61-'Green+Social Interface'!$F$62))/'Green+Social Interface'!$U$11*100,-1)/10)*0.5)*'Green Infrastructure'!$E$30)),0)</f>
        <v>0</v>
      </c>
      <c r="AI30" s="220">
        <f>IF('Green+Social Interface'!$U$11&gt;0,(($D$73*((ROUNDDOWN(($D$77-('Green+Social Interface'!$F$61-'Green+Social Interface'!$F$62))/'Green+Social Interface'!$U$11*100,-1)/10)*0.5)*'Green Infrastructure'!$E$30)),0)</f>
        <v>0</v>
      </c>
      <c r="AJ30" s="220">
        <f>IF('Green+Social Interface'!$U$11&gt;0,(($D$73*((ROUNDDOWN(($D$77-('Green+Social Interface'!$F$61-'Green+Social Interface'!$F$62))/'Green+Social Interface'!$U$11*100,-1)/10)*0.5)*'Green Infrastructure'!$E$30)),0)</f>
        <v>0</v>
      </c>
      <c r="AK30" s="220">
        <f>IF('Green+Social Interface'!$U$11&gt;0,(($D$73*((ROUNDDOWN(($D$77-('Green+Social Interface'!$F$61-'Green+Social Interface'!$F$62))/'Green+Social Interface'!$U$11*100,-1)/10)*0.5)*'Green Infrastructure'!$E$30)),0)</f>
        <v>0</v>
      </c>
      <c r="AL30" s="220">
        <f>IF('Green+Social Interface'!$U$11&gt;0,(($D$73*((ROUNDDOWN(($D$77-('Green+Social Interface'!$F$61-'Green+Social Interface'!$F$62))/'Green+Social Interface'!$U$11*100,-1)/10)*0.5)*'Green Infrastructure'!$E$30)),0)</f>
        <v>0</v>
      </c>
      <c r="AM30" s="220">
        <f>IF('Green+Social Interface'!$U$11&gt;0,(($D$73*((ROUNDDOWN(($D$77-('Green+Social Interface'!$F$61-'Green+Social Interface'!$F$62))/'Green+Social Interface'!$U$11*100,-1)/10)*0.5)*'Green Infrastructure'!$E$30)),0)</f>
        <v>0</v>
      </c>
      <c r="AN30" s="220">
        <f>IF('Green+Social Interface'!$U$11&gt;0,(($D$73*((ROUNDDOWN(($D$77-('Green+Social Interface'!$F$61-'Green+Social Interface'!$F$62))/'Green+Social Interface'!$U$11*100,-1)/10)*0.5)*'Green Infrastructure'!$E$30)),0)</f>
        <v>0</v>
      </c>
      <c r="AO30" s="220">
        <f>IF('Green+Social Interface'!$U$11&gt;0,(($D$73*((ROUNDDOWN(($D$77-('Green+Social Interface'!$F$61-'Green+Social Interface'!$F$62))/'Green+Social Interface'!$U$11*100,-1)/10)*0.5)*'Green Infrastructure'!$E$30)),0)</f>
        <v>0</v>
      </c>
      <c r="AP30" s="220">
        <f>IF('Green+Social Interface'!$U$11&gt;0,(($D$73*((ROUNDDOWN(($D$77-('Green+Social Interface'!$F$61-'Green+Social Interface'!$F$62))/'Green+Social Interface'!$U$11*100,-1)/10)*0.5)*'Green Infrastructure'!$E$30)),0)</f>
        <v>0</v>
      </c>
      <c r="AQ30" s="220">
        <f>IF('Green+Social Interface'!$U$11&gt;0,(($D$73*((ROUNDDOWN(($D$77-('Green+Social Interface'!$F$61-'Green+Social Interface'!$F$62))/'Green+Social Interface'!$U$11*100,-1)/10)*0.5)*'Green Infrastructure'!$E$30)),0)</f>
        <v>0</v>
      </c>
      <c r="AR30" s="220">
        <f>IF('Green+Social Interface'!$U$11&gt;0,(($D$73*((ROUNDDOWN(($D$77-('Green+Social Interface'!$F$61-'Green+Social Interface'!$F$62))/'Green+Social Interface'!$U$11*100,-1)/10)*0.5)*'Green Infrastructure'!$E$30)),0)</f>
        <v>0</v>
      </c>
      <c r="AS30" s="220">
        <f>IF('Green+Social Interface'!$U$11&gt;0,(($D$73*((ROUNDDOWN(($D$77-('Green+Social Interface'!$F$61-'Green+Social Interface'!$F$62))/'Green+Social Interface'!$U$11*100,-1)/10)*0.5)*'Green Infrastructure'!$E$30)),0)</f>
        <v>0</v>
      </c>
      <c r="AT30" s="220">
        <f>IF('Green+Social Interface'!$U$11&gt;0,(($D$73*((ROUNDDOWN(($D$77-('Green+Social Interface'!$F$61-'Green+Social Interface'!$F$62))/'Green+Social Interface'!$U$11*100,-1)/10)*0.5)*'Green Infrastructure'!$E$30)),0)</f>
        <v>0</v>
      </c>
      <c r="AU30" s="220">
        <f>IF('Green+Social Interface'!$U$11&gt;0,(($D$73*((ROUNDDOWN(($D$77-('Green+Social Interface'!$F$61-'Green+Social Interface'!$F$62))/'Green+Social Interface'!$U$11*100,-1)/10)*0.5)*'Green Infrastructure'!$E$30)),0)</f>
        <v>0</v>
      </c>
      <c r="AV30" s="220">
        <f>IF('Green+Social Interface'!$U$11&gt;0,(($D$73*((ROUNDDOWN(($D$77-('Green+Social Interface'!$F$61-'Green+Social Interface'!$F$62))/'Green+Social Interface'!$U$11*100,-1)/10)*0.5)*'Green Infrastructure'!$E$30)),0)</f>
        <v>0</v>
      </c>
      <c r="AW30" s="220">
        <f>IF('Green+Social Interface'!$U$11&gt;0,(($D$73*((ROUNDDOWN(($D$77-('Green+Social Interface'!$F$61-'Green+Social Interface'!$F$62))/'Green+Social Interface'!$U$11*100,-1)/10)*0.5)*'Green Infrastructure'!$E$30)),0)</f>
        <v>0</v>
      </c>
      <c r="AX30" s="220">
        <f>IF('Green+Social Interface'!$U$11&gt;0,(($D$73*((ROUNDDOWN(($D$77-('Green+Social Interface'!$F$61-'Green+Social Interface'!$F$62))/'Green+Social Interface'!$U$11*100,-1)/10)*0.5)*'Green Infrastructure'!$E$30)),0)</f>
        <v>0</v>
      </c>
      <c r="AY30" s="220">
        <f>IF('Green+Social Interface'!$U$11&gt;0,(($D$73*((ROUNDDOWN(($D$77-('Green+Social Interface'!$F$61-'Green+Social Interface'!$F$62))/'Green+Social Interface'!$U$11*100,-1)/10)*0.5)*'Green Infrastructure'!$E$30)),0)</f>
        <v>0</v>
      </c>
      <c r="AZ30" s="220">
        <f>IF('Green+Social Interface'!$U$11&gt;0,(($D$73*((ROUNDDOWN(($D$77-('Green+Social Interface'!$F$61-'Green+Social Interface'!$F$62))/'Green+Social Interface'!$U$11*100,-1)/10)*0.5)*'Green Infrastructure'!$E$30)),0)</f>
        <v>0</v>
      </c>
    </row>
    <row r="31" spans="2:52" ht="15">
      <c r="B31" s="218"/>
      <c r="C31" s="219" t="s">
        <v>270</v>
      </c>
      <c r="D31" s="219" t="s">
        <v>250</v>
      </c>
      <c r="E31" s="228" t="s">
        <v>645</v>
      </c>
      <c r="F31" s="220"/>
      <c r="G31" s="221"/>
      <c r="H31" s="222"/>
      <c r="I31" s="223"/>
      <c r="J31" s="224">
        <f t="shared" si="17"/>
        <v>0</v>
      </c>
      <c r="K31" s="224">
        <f aca="true" t="shared" si="28" ref="K31:K32">AVERAGE(M31:AZ31)</f>
        <v>0</v>
      </c>
      <c r="L31" s="225">
        <f aca="true" t="shared" si="29" ref="L31:L32">SUM(M31:AZ31)</f>
        <v>0</v>
      </c>
      <c r="M31" s="226">
        <f>M29*(('Green+Social Interface'!$Z$62*'Green+Social Interface'!$Z$65)*(1+0.0255))</f>
        <v>0</v>
      </c>
      <c r="N31" s="226">
        <f>N29*(('Green+Social Interface'!$Z$62*'Green+Social Interface'!$Z$65)*((1+0.0255+$D$74)^($N3-1)))</f>
        <v>0</v>
      </c>
      <c r="O31" s="226">
        <f>O29*(('Green+Social Interface'!$Z$62*'Green+Social Interface'!$Z$65)*((1+0.0255+$D$74)^($N3-1)))</f>
        <v>0</v>
      </c>
      <c r="P31" s="226">
        <f>P29*(('Green+Social Interface'!$Z$62*'Green+Social Interface'!$Z$65)*((1+0.0255+$D$74)^($N3-1)))</f>
        <v>0</v>
      </c>
      <c r="Q31" s="226">
        <f>Q29*(('Green+Social Interface'!$Z$62*'Green+Social Interface'!$Z$65)*((1+0.0255+$D$74)^($N3-1)))</f>
        <v>0</v>
      </c>
      <c r="R31" s="226">
        <f>R29*(('Green+Social Interface'!$Z$62*'Green+Social Interface'!$Z$65)*((1+0.0255+$D$74)^($N3-1)))</f>
        <v>0</v>
      </c>
      <c r="S31" s="226">
        <f>S29*(('Green+Social Interface'!$Z$62*'Green+Social Interface'!$Z$65)*((1+0.0255+$D$74)^($N3-1)))</f>
        <v>0</v>
      </c>
      <c r="T31" s="226">
        <f>T29*(('Green+Social Interface'!$Z$62*'Green+Social Interface'!$Z$65)*((1+0.0255+$D$74)^($N3-1)))</f>
        <v>0</v>
      </c>
      <c r="U31" s="226">
        <f>U29*(('Green+Social Interface'!$Z$62*'Green+Social Interface'!$Z$65)*((1+0.0255+$D$74)^($N3-1)))</f>
        <v>0</v>
      </c>
      <c r="V31" s="226">
        <f>V29*(('Green+Social Interface'!$Z$62*'Green+Social Interface'!$Z$65)*((1+0.0255+$D$74)^($N3-1)))</f>
        <v>0</v>
      </c>
      <c r="W31" s="226">
        <f>W29*(('Green+Social Interface'!$Z$62*'Green+Social Interface'!$Z$65)*((1+0.0255+$D$74)^($N3-1)))</f>
        <v>0</v>
      </c>
      <c r="X31" s="226">
        <f>X29*(('Green+Social Interface'!$Z$62*'Green+Social Interface'!$Z$65)*((1+0.0255+$D$74)^($N3-1)))</f>
        <v>0</v>
      </c>
      <c r="Y31" s="226">
        <f>Y29*(('Green+Social Interface'!$Z$62*'Green+Social Interface'!$Z$65)*((1+0.0255+$D$74)^($N3-1)))</f>
        <v>0</v>
      </c>
      <c r="Z31" s="226">
        <f>Z29*(('Green+Social Interface'!$Z$62*'Green+Social Interface'!$Z$65)*((1+0.0255+$D$74)^($N3-1)))</f>
        <v>0</v>
      </c>
      <c r="AA31" s="226">
        <f>AA29*(('Green+Social Interface'!$Z$62*'Green+Social Interface'!$Z$65)*((1+0.0255+$D$74)^($N3-1)))</f>
        <v>0</v>
      </c>
      <c r="AB31" s="226">
        <f>AB29*(('Green+Social Interface'!$Z$62*'Green+Social Interface'!$Z$65)*((1+0.0255+$D$74)^($N3-1)))</f>
        <v>0</v>
      </c>
      <c r="AC31" s="226">
        <f>AC29*(('Green+Social Interface'!$Z$62*'Green+Social Interface'!$Z$65)*((1+0.0255+$D$74)^($N3-1)))</f>
        <v>0</v>
      </c>
      <c r="AD31" s="226">
        <f>AD29*(('Green+Social Interface'!$Z$62*'Green+Social Interface'!$Z$65)*((1+0.0255+$D$74)^($N3-1)))</f>
        <v>0</v>
      </c>
      <c r="AE31" s="226">
        <f>AE29*(('Green+Social Interface'!$Z$62*'Green+Social Interface'!$Z$65)*((1+0.0255+$D$74)^($N3-1)))</f>
        <v>0</v>
      </c>
      <c r="AF31" s="226">
        <f>AF29*(('Green+Social Interface'!$Z$62*'Green+Social Interface'!$Z$65)*((1+0.0255+$D$74)^($N3-1)))</f>
        <v>0</v>
      </c>
      <c r="AG31" s="226">
        <f>AG29*(('Green+Social Interface'!$Z$62*'Green+Social Interface'!$Z$65)*((1+0.0255+$D$74)^($N3-1)))</f>
        <v>0</v>
      </c>
      <c r="AH31" s="226">
        <f>AH29*(('Green+Social Interface'!$Z$62*'Green+Social Interface'!$Z$65)*((1+0.0255+$D$74)^($N3-1)))</f>
        <v>0</v>
      </c>
      <c r="AI31" s="226">
        <f>AI29*(('Green+Social Interface'!$Z$62*'Green+Social Interface'!$Z$65)*((1+0.0255+$D$74)^($N3-1)))</f>
        <v>0</v>
      </c>
      <c r="AJ31" s="226">
        <f>AJ29*(('Green+Social Interface'!$Z$62*'Green+Social Interface'!$Z$65)*((1+0.0255+$D$74)^($N3-1)))</f>
        <v>0</v>
      </c>
      <c r="AK31" s="226">
        <f>AK29*(('Green+Social Interface'!$Z$62*'Green+Social Interface'!$Z$65)*((1+0.0255+$D$74)^($N3-1)))</f>
        <v>0</v>
      </c>
      <c r="AL31" s="226">
        <f>AL29*(('Green+Social Interface'!$Z$62*'Green+Social Interface'!$Z$65)*((1+0.0255+$D$74)^($N3-1)))</f>
        <v>0</v>
      </c>
      <c r="AM31" s="226">
        <f>AM29*(('Green+Social Interface'!$Z$62*'Green+Social Interface'!$Z$65)*((1+0.0255+$D$74)^($N3-1)))</f>
        <v>0</v>
      </c>
      <c r="AN31" s="226">
        <f>AN29*(('Green+Social Interface'!$Z$62*'Green+Social Interface'!$Z$65)*((1+0.0255+$D$74)^($N3-1)))</f>
        <v>0</v>
      </c>
      <c r="AO31" s="226">
        <f>AO29*(('Green+Social Interface'!$Z$62*'Green+Social Interface'!$Z$65)*((1+0.0255+$D$74)^($N3-1)))</f>
        <v>0</v>
      </c>
      <c r="AP31" s="226">
        <f>AP29*(('Green+Social Interface'!$Z$62*'Green+Social Interface'!$Z$65)*((1+0.0255+$D$74)^($N3-1)))</f>
        <v>0</v>
      </c>
      <c r="AQ31" s="226">
        <f>AQ29*(('Green+Social Interface'!$Z$62*'Green+Social Interface'!$Z$65)*((1+0.0255+$D$74)^($N3-1)))</f>
        <v>0</v>
      </c>
      <c r="AR31" s="226">
        <f>AR29*(('Green+Social Interface'!$Z$62*'Green+Social Interface'!$Z$65)*((1+0.0255+$D$74)^($N3-1)))</f>
        <v>0</v>
      </c>
      <c r="AS31" s="226">
        <f>AS29*(('Green+Social Interface'!$Z$62*'Green+Social Interface'!$Z$65)*((1+0.0255+$D$74)^($N3-1)))</f>
        <v>0</v>
      </c>
      <c r="AT31" s="226">
        <f>AT29*(('Green+Social Interface'!$Z$62*'Green+Social Interface'!$Z$65)*((1+0.0255+$D$74)^($N3-1)))</f>
        <v>0</v>
      </c>
      <c r="AU31" s="226">
        <f>AU29*(('Green+Social Interface'!$Z$62*'Green+Social Interface'!$Z$65)*((1+0.0255+$D$74)^($N3-1)))</f>
        <v>0</v>
      </c>
      <c r="AV31" s="226">
        <f>AV29*(('Green+Social Interface'!$Z$62*'Green+Social Interface'!$Z$65)*((1+0.0255+$D$74)^($N3-1)))</f>
        <v>0</v>
      </c>
      <c r="AW31" s="226">
        <f>AW29*(('Green+Social Interface'!$Z$62*'Green+Social Interface'!$Z$65)*((1+0.0255+$D$74)^($N3-1)))</f>
        <v>0</v>
      </c>
      <c r="AX31" s="226">
        <f>AX29*(('Green+Social Interface'!$Z$62*'Green+Social Interface'!$Z$65)*((1+0.0255+$D$74)^($N3-1)))</f>
        <v>0</v>
      </c>
      <c r="AY31" s="226">
        <f>AY29*(('Green+Social Interface'!$Z$62*'Green+Social Interface'!$Z$65)*((1+0.0255+$D$74)^($N3-1)))</f>
        <v>0</v>
      </c>
      <c r="AZ31" s="226">
        <f>AZ29*(('Green+Social Interface'!$Z$62*'Green+Social Interface'!$Z$65)*((1+0.0255+$D$74)^($N3-1)))</f>
        <v>0</v>
      </c>
    </row>
    <row r="32" spans="2:52" ht="15">
      <c r="B32" s="218"/>
      <c r="C32" s="219" t="s">
        <v>271</v>
      </c>
      <c r="D32" s="219" t="s">
        <v>67</v>
      </c>
      <c r="E32" s="228" t="s">
        <v>645</v>
      </c>
      <c r="F32" s="220"/>
      <c r="G32" s="221"/>
      <c r="H32" s="222"/>
      <c r="I32" s="223"/>
      <c r="J32" s="224">
        <f t="shared" si="17"/>
        <v>0</v>
      </c>
      <c r="K32" s="224">
        <f t="shared" si="28"/>
        <v>0</v>
      </c>
      <c r="L32" s="225">
        <f t="shared" si="29"/>
        <v>0</v>
      </c>
      <c r="M32" s="226">
        <f>M30*(('Green+Social Interface'!$Z$62*'Green+Social Interface'!$Z$65)*(1+0.0255))</f>
        <v>0</v>
      </c>
      <c r="N32" s="226">
        <f>N30*(('Green+Social Interface'!$Z$62*'Green+Social Interface'!$Z$65)*((1+0.0255+$D$74)^(N$3-1)))</f>
        <v>0</v>
      </c>
      <c r="O32" s="226">
        <f>O30*(('Green+Social Interface'!$Z$62*'Green+Social Interface'!$Z$65)*((1+0.0255+$D$74)^(O$3-1)))</f>
        <v>0</v>
      </c>
      <c r="P32" s="226">
        <f>P30*(('Green+Social Interface'!$Z$62*'Green+Social Interface'!$Z$65)*((1+0.0255+$D$74)^(P$3-1)))</f>
        <v>0</v>
      </c>
      <c r="Q32" s="226">
        <f>Q30*(('Green+Social Interface'!$Z$62*'Green+Social Interface'!$Z$65)*((1+0.0255+$D$74)^(Q$3-1)))</f>
        <v>0</v>
      </c>
      <c r="R32" s="226">
        <f>R30*(('Green+Social Interface'!$Z$62*'Green+Social Interface'!$Z$65)*((1+0.0255+$D$74)^(R$3-1)))</f>
        <v>0</v>
      </c>
      <c r="S32" s="226">
        <f>S30*(('Green+Social Interface'!$Z$62*'Green+Social Interface'!$Z$65)*((1+0.0255+$D$74)^(S$3-1)))</f>
        <v>0</v>
      </c>
      <c r="T32" s="226">
        <f>T30*(('Green+Social Interface'!$Z$62*'Green+Social Interface'!$Z$65)*((1+0.0255+$D$74)^(T$3-1)))</f>
        <v>0</v>
      </c>
      <c r="U32" s="226">
        <f>U30*(('Green+Social Interface'!$Z$62*'Green+Social Interface'!$Z$65)*((1+0.0255+$D$74)^(U$3-1)))</f>
        <v>0</v>
      </c>
      <c r="V32" s="226">
        <f>V30*(('Green+Social Interface'!$Z$62*'Green+Social Interface'!$Z$65)*((1+0.0255+$D$74)^(V$3-1)))</f>
        <v>0</v>
      </c>
      <c r="W32" s="226">
        <f>W30*(('Green+Social Interface'!$Z$62*'Green+Social Interface'!$Z$65)*((1+0.0255+$D$74)^(W$3-1)))</f>
        <v>0</v>
      </c>
      <c r="X32" s="226">
        <f>X30*(('Green+Social Interface'!$Z$62*'Green+Social Interface'!$Z$65)*((1+0.0255+$D$74)^(X$3-1)))</f>
        <v>0</v>
      </c>
      <c r="Y32" s="226">
        <f>Y30*(('Green+Social Interface'!$Z$62*'Green+Social Interface'!$Z$65)*((1+0.0255+$D$74)^(Y$3-1)))</f>
        <v>0</v>
      </c>
      <c r="Z32" s="226">
        <f>Z30*(('Green+Social Interface'!$Z$62*'Green+Social Interface'!$Z$65)*((1+0.0255+$D$74)^(Z$3-1)))</f>
        <v>0</v>
      </c>
      <c r="AA32" s="226">
        <f>AA30*(('Green+Social Interface'!$Z$62*'Green+Social Interface'!$Z$65)*((1+0.0255+$D$74)^(AA$3-1)))</f>
        <v>0</v>
      </c>
      <c r="AB32" s="226">
        <f>AB30*(('Green+Social Interface'!$Z$62*'Green+Social Interface'!$Z$65)*((1+0.0255+$D$74)^(AB$3-1)))</f>
        <v>0</v>
      </c>
      <c r="AC32" s="226">
        <f>AC30*(('Green+Social Interface'!$Z$62*'Green+Social Interface'!$Z$65)*((1+0.0255+$D$74)^(AC$3-1)))</f>
        <v>0</v>
      </c>
      <c r="AD32" s="226">
        <f>AD30*(('Green+Social Interface'!$Z$62*'Green+Social Interface'!$Z$65)*((1+0.0255+$D$74)^(AD$3-1)))</f>
        <v>0</v>
      </c>
      <c r="AE32" s="226">
        <f>AE30*(('Green+Social Interface'!$Z$62*'Green+Social Interface'!$Z$65)*((1+0.0255+$D$74)^(AE$3-1)))</f>
        <v>0</v>
      </c>
      <c r="AF32" s="226">
        <f>AF30*(('Green+Social Interface'!$Z$62*'Green+Social Interface'!$Z$65)*((1+0.0255+$D$74)^(AF$3-1)))</f>
        <v>0</v>
      </c>
      <c r="AG32" s="226">
        <f>AG30*(('Green+Social Interface'!$Z$62*'Green+Social Interface'!$Z$65)*((1+0.0255+$D$74)^(AG$3-1)))</f>
        <v>0</v>
      </c>
      <c r="AH32" s="226">
        <f>AH30*(('Green+Social Interface'!$Z$62*'Green+Social Interface'!$Z$65)*((1+0.0255+$D$74)^(AH$3-1)))</f>
        <v>0</v>
      </c>
      <c r="AI32" s="226">
        <f>AI30*(('Green+Social Interface'!$Z$62*'Green+Social Interface'!$Z$65)*((1+0.0255+$D$74)^(AI$3-1)))</f>
        <v>0</v>
      </c>
      <c r="AJ32" s="226">
        <f>AJ30*(('Green+Social Interface'!$Z$62*'Green+Social Interface'!$Z$65)*((1+0.0255+$D$74)^(AJ$3-1)))</f>
        <v>0</v>
      </c>
      <c r="AK32" s="226">
        <f>AK30*(('Green+Social Interface'!$Z$62*'Green+Social Interface'!$Z$65)*((1+0.0255+$D$74)^(AK$3-1)))</f>
        <v>0</v>
      </c>
      <c r="AL32" s="226">
        <f>AL30*(('Green+Social Interface'!$Z$62*'Green+Social Interface'!$Z$65)*((1+0.0255+$D$74)^(AL$3-1)))</f>
        <v>0</v>
      </c>
      <c r="AM32" s="226">
        <f>AM30*(('Green+Social Interface'!$Z$62*'Green+Social Interface'!$Z$65)*((1+0.0255+$D$74)^(AM$3-1)))</f>
        <v>0</v>
      </c>
      <c r="AN32" s="226">
        <f>AN30*(('Green+Social Interface'!$Z$62*'Green+Social Interface'!$Z$65)*((1+0.0255+$D$74)^(AN$3-1)))</f>
        <v>0</v>
      </c>
      <c r="AO32" s="226">
        <f>AO30*(('Green+Social Interface'!$Z$62*'Green+Social Interface'!$Z$65)*((1+0.0255+$D$74)^(AO$3-1)))</f>
        <v>0</v>
      </c>
      <c r="AP32" s="226">
        <f>AP30*(('Green+Social Interface'!$Z$62*'Green+Social Interface'!$Z$65)*((1+0.0255+$D$74)^(AP$3-1)))</f>
        <v>0</v>
      </c>
      <c r="AQ32" s="226">
        <f>AQ30*(('Green+Social Interface'!$Z$62*'Green+Social Interface'!$Z$65)*((1+0.0255+$D$74)^(AQ$3-1)))</f>
        <v>0</v>
      </c>
      <c r="AR32" s="226">
        <f>AR30*(('Green+Social Interface'!$Z$62*'Green+Social Interface'!$Z$65)*((1+0.0255+$D$74)^(AR$3-1)))</f>
        <v>0</v>
      </c>
      <c r="AS32" s="226">
        <f>AS30*(('Green+Social Interface'!$Z$62*'Green+Social Interface'!$Z$65)*((1+0.0255+$D$74)^(AS$3-1)))</f>
        <v>0</v>
      </c>
      <c r="AT32" s="226">
        <f>AT30*(('Green+Social Interface'!$Z$62*'Green+Social Interface'!$Z$65)*((1+0.0255+$D$74)^(AT$3-1)))</f>
        <v>0</v>
      </c>
      <c r="AU32" s="226">
        <f>AU30*(('Green+Social Interface'!$Z$62*'Green+Social Interface'!$Z$65)*((1+0.0255+$D$74)^(AU$3-1)))</f>
        <v>0</v>
      </c>
      <c r="AV32" s="226">
        <f>AV30*(('Green+Social Interface'!$Z$62*'Green+Social Interface'!$Z$65)*((1+0.0255+$D$74)^(AV$3-1)))</f>
        <v>0</v>
      </c>
      <c r="AW32" s="226">
        <f>AW30*(('Green+Social Interface'!$Z$62*'Green+Social Interface'!$Z$65)*((1+0.0255+$D$74)^(AW$3-1)))</f>
        <v>0</v>
      </c>
      <c r="AX32" s="226">
        <f>AX30*(('Green+Social Interface'!$Z$62*'Green+Social Interface'!$Z$65)*((1+0.0255+$D$74)^(AX$3-1)))</f>
        <v>0</v>
      </c>
      <c r="AY32" s="226">
        <f>AY30*(('Green+Social Interface'!$Z$62*'Green+Social Interface'!$Z$65)*((1+0.0255+$D$74)^(AY$3-1)))</f>
        <v>0</v>
      </c>
      <c r="AZ32" s="226">
        <f>AZ30*(('Green+Social Interface'!$Z$62*'Green+Social Interface'!$Z$65)*((1+0.0255+$D$74)^(AZ$3-1)))</f>
        <v>0</v>
      </c>
    </row>
    <row r="33" spans="2:52" ht="15">
      <c r="B33" s="288" t="s">
        <v>400</v>
      </c>
      <c r="C33" s="243"/>
      <c r="D33" s="243"/>
      <c r="E33" s="244"/>
      <c r="F33" s="245"/>
      <c r="G33" s="246"/>
      <c r="H33" s="247"/>
      <c r="I33" s="248"/>
      <c r="J33" s="249"/>
      <c r="K33" s="249"/>
      <c r="L33" s="250"/>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row>
    <row r="34" spans="2:52" ht="15">
      <c r="B34" s="331" t="s">
        <v>640</v>
      </c>
      <c r="C34" s="243" t="s">
        <v>624</v>
      </c>
      <c r="D34" s="243"/>
      <c r="E34" s="244">
        <v>353.6715</v>
      </c>
      <c r="F34" s="252">
        <f>E34*VLOOKUP('Green+Social Interface'!$I$38,'Look-ups'!$A$15:$B$43,2,0)</f>
        <v>374.89179</v>
      </c>
      <c r="G34" s="334" t="s">
        <v>401</v>
      </c>
      <c r="H34" s="247"/>
      <c r="I34" s="248"/>
      <c r="J34" s="249">
        <f>IF(AND(K34&gt;0,$D$72&gt;0),K34/$D$72,0)</f>
        <v>0</v>
      </c>
      <c r="K34" s="249">
        <f t="shared" si="12"/>
        <v>0</v>
      </c>
      <c r="L34" s="250">
        <f t="shared" si="13"/>
        <v>0</v>
      </c>
      <c r="M34" s="251">
        <f>(((0.25/10^6)*(('Green Infrastructure'!$F$34*VLOOKUP('Green+Social Interface'!$D$39,'Look-ups_2'!$B$4:$E$114,4,0))))*D75)*0.25</f>
        <v>0</v>
      </c>
      <c r="N34" s="251">
        <f>IF(M34&lt;&gt;0,M34*(1+$D$74),0)</f>
        <v>0</v>
      </c>
      <c r="O34" s="251">
        <f aca="true" t="shared" si="30" ref="O34:AZ34">IF(N34&lt;&gt;0,N34*(1+$D$74),0)</f>
        <v>0</v>
      </c>
      <c r="P34" s="251">
        <f t="shared" si="30"/>
        <v>0</v>
      </c>
      <c r="Q34" s="251">
        <f t="shared" si="30"/>
        <v>0</v>
      </c>
      <c r="R34" s="251">
        <f>(IF(Q34&lt;&gt;0,Q34*(1+$D$74),0))*2</f>
        <v>0</v>
      </c>
      <c r="S34" s="251">
        <f t="shared" si="30"/>
        <v>0</v>
      </c>
      <c r="T34" s="251">
        <f t="shared" si="30"/>
        <v>0</v>
      </c>
      <c r="U34" s="251">
        <f t="shared" si="30"/>
        <v>0</v>
      </c>
      <c r="V34" s="251">
        <f t="shared" si="30"/>
        <v>0</v>
      </c>
      <c r="W34" s="251">
        <f>(IF(V34&lt;&gt;0,V34*(1+$D$74),0))*1.5</f>
        <v>0</v>
      </c>
      <c r="X34" s="251">
        <f t="shared" si="30"/>
        <v>0</v>
      </c>
      <c r="Y34" s="251">
        <f t="shared" si="30"/>
        <v>0</v>
      </c>
      <c r="Z34" s="251">
        <f t="shared" si="30"/>
        <v>0</v>
      </c>
      <c r="AA34" s="251">
        <f t="shared" si="30"/>
        <v>0</v>
      </c>
      <c r="AB34" s="251">
        <f t="shared" si="30"/>
        <v>0</v>
      </c>
      <c r="AC34" s="251">
        <f t="shared" si="30"/>
        <v>0</v>
      </c>
      <c r="AD34" s="251">
        <f t="shared" si="30"/>
        <v>0</v>
      </c>
      <c r="AE34" s="251">
        <f t="shared" si="30"/>
        <v>0</v>
      </c>
      <c r="AF34" s="251">
        <f t="shared" si="30"/>
        <v>0</v>
      </c>
      <c r="AG34" s="251">
        <f>(IF(AF34&lt;&gt;0,AF34*(1+$D$74),0))*1.33333</f>
        <v>0</v>
      </c>
      <c r="AH34" s="251">
        <f t="shared" si="30"/>
        <v>0</v>
      </c>
      <c r="AI34" s="251">
        <f t="shared" si="30"/>
        <v>0</v>
      </c>
      <c r="AJ34" s="251">
        <f t="shared" si="30"/>
        <v>0</v>
      </c>
      <c r="AK34" s="251">
        <f t="shared" si="30"/>
        <v>0</v>
      </c>
      <c r="AL34" s="251">
        <f t="shared" si="30"/>
        <v>0</v>
      </c>
      <c r="AM34" s="251">
        <f t="shared" si="30"/>
        <v>0</v>
      </c>
      <c r="AN34" s="251">
        <f t="shared" si="30"/>
        <v>0</v>
      </c>
      <c r="AO34" s="251">
        <f t="shared" si="30"/>
        <v>0</v>
      </c>
      <c r="AP34" s="251">
        <f t="shared" si="30"/>
        <v>0</v>
      </c>
      <c r="AQ34" s="251">
        <f t="shared" si="30"/>
        <v>0</v>
      </c>
      <c r="AR34" s="251">
        <f t="shared" si="30"/>
        <v>0</v>
      </c>
      <c r="AS34" s="251">
        <f t="shared" si="30"/>
        <v>0</v>
      </c>
      <c r="AT34" s="251">
        <f t="shared" si="30"/>
        <v>0</v>
      </c>
      <c r="AU34" s="251">
        <f t="shared" si="30"/>
        <v>0</v>
      </c>
      <c r="AV34" s="251">
        <f t="shared" si="30"/>
        <v>0</v>
      </c>
      <c r="AW34" s="251">
        <f t="shared" si="30"/>
        <v>0</v>
      </c>
      <c r="AX34" s="251">
        <f t="shared" si="30"/>
        <v>0</v>
      </c>
      <c r="AY34" s="251">
        <f t="shared" si="30"/>
        <v>0</v>
      </c>
      <c r="AZ34" s="251">
        <f t="shared" si="30"/>
        <v>0</v>
      </c>
    </row>
    <row r="35" spans="2:52" ht="15">
      <c r="B35" s="242"/>
      <c r="C35" s="243" t="s">
        <v>425</v>
      </c>
      <c r="D35" s="243"/>
      <c r="E35" s="244">
        <v>353.6715</v>
      </c>
      <c r="F35" s="252">
        <f>E35*VLOOKUP('Green+Social Interface'!$I$38,'Look-ups'!$A$15:$B$43,2,0)</f>
        <v>374.89179</v>
      </c>
      <c r="G35" s="246"/>
      <c r="H35" s="247"/>
      <c r="I35" s="248"/>
      <c r="J35" s="257">
        <f>IF(AND(K35&gt;0,$D$72&gt;0),K35/$D$72,0)</f>
        <v>0</v>
      </c>
      <c r="K35" s="249">
        <f t="shared" si="12"/>
        <v>0</v>
      </c>
      <c r="L35" s="250">
        <f t="shared" si="13"/>
        <v>0</v>
      </c>
      <c r="M35" s="251">
        <f>((0.00649373798747598/15)*(('Green Infrastructure'!$F$35*VLOOKUP('Green+Social Interface'!$D$39,'Look-ups_2'!$B$4:$E$114,4,0))/(10000)))*D82</f>
        <v>0</v>
      </c>
      <c r="N35" s="251">
        <f>IF(M35&gt;0,M35*(1+$D$74),0)</f>
        <v>0</v>
      </c>
      <c r="O35" s="251">
        <f aca="true" t="shared" si="31" ref="O35:AZ35">IF(N35&gt;0,N35*(1+$D$74),0)</f>
        <v>0</v>
      </c>
      <c r="P35" s="251">
        <f t="shared" si="31"/>
        <v>0</v>
      </c>
      <c r="Q35" s="251">
        <f t="shared" si="31"/>
        <v>0</v>
      </c>
      <c r="R35" s="251">
        <f t="shared" si="31"/>
        <v>0</v>
      </c>
      <c r="S35" s="251">
        <f t="shared" si="31"/>
        <v>0</v>
      </c>
      <c r="T35" s="251">
        <f t="shared" si="31"/>
        <v>0</v>
      </c>
      <c r="U35" s="251">
        <f t="shared" si="31"/>
        <v>0</v>
      </c>
      <c r="V35" s="251">
        <f t="shared" si="31"/>
        <v>0</v>
      </c>
      <c r="W35" s="251">
        <f t="shared" si="31"/>
        <v>0</v>
      </c>
      <c r="X35" s="251">
        <f t="shared" si="31"/>
        <v>0</v>
      </c>
      <c r="Y35" s="251">
        <f t="shared" si="31"/>
        <v>0</v>
      </c>
      <c r="Z35" s="251">
        <f t="shared" si="31"/>
        <v>0</v>
      </c>
      <c r="AA35" s="251">
        <f t="shared" si="31"/>
        <v>0</v>
      </c>
      <c r="AB35" s="251">
        <f t="shared" si="31"/>
        <v>0</v>
      </c>
      <c r="AC35" s="251">
        <f t="shared" si="31"/>
        <v>0</v>
      </c>
      <c r="AD35" s="251">
        <f t="shared" si="31"/>
        <v>0</v>
      </c>
      <c r="AE35" s="251">
        <f t="shared" si="31"/>
        <v>0</v>
      </c>
      <c r="AF35" s="251">
        <f t="shared" si="31"/>
        <v>0</v>
      </c>
      <c r="AG35" s="251">
        <f t="shared" si="31"/>
        <v>0</v>
      </c>
      <c r="AH35" s="251">
        <f t="shared" si="31"/>
        <v>0</v>
      </c>
      <c r="AI35" s="251">
        <f t="shared" si="31"/>
        <v>0</v>
      </c>
      <c r="AJ35" s="251">
        <f t="shared" si="31"/>
        <v>0</v>
      </c>
      <c r="AK35" s="251">
        <f t="shared" si="31"/>
        <v>0</v>
      </c>
      <c r="AL35" s="251">
        <f t="shared" si="31"/>
        <v>0</v>
      </c>
      <c r="AM35" s="251">
        <f t="shared" si="31"/>
        <v>0</v>
      </c>
      <c r="AN35" s="251">
        <f t="shared" si="31"/>
        <v>0</v>
      </c>
      <c r="AO35" s="251">
        <f t="shared" si="31"/>
        <v>0</v>
      </c>
      <c r="AP35" s="251">
        <f t="shared" si="31"/>
        <v>0</v>
      </c>
      <c r="AQ35" s="251">
        <f t="shared" si="31"/>
        <v>0</v>
      </c>
      <c r="AR35" s="251">
        <f t="shared" si="31"/>
        <v>0</v>
      </c>
      <c r="AS35" s="251">
        <f t="shared" si="31"/>
        <v>0</v>
      </c>
      <c r="AT35" s="251">
        <f t="shared" si="31"/>
        <v>0</v>
      </c>
      <c r="AU35" s="251">
        <f t="shared" si="31"/>
        <v>0</v>
      </c>
      <c r="AV35" s="251">
        <f t="shared" si="31"/>
        <v>0</v>
      </c>
      <c r="AW35" s="251">
        <f t="shared" si="31"/>
        <v>0</v>
      </c>
      <c r="AX35" s="251">
        <f t="shared" si="31"/>
        <v>0</v>
      </c>
      <c r="AY35" s="251">
        <f t="shared" si="31"/>
        <v>0</v>
      </c>
      <c r="AZ35" s="251">
        <f t="shared" si="31"/>
        <v>0</v>
      </c>
    </row>
    <row r="36" spans="2:52" ht="15">
      <c r="B36" s="24"/>
      <c r="C36" s="25"/>
      <c r="D36" s="25"/>
      <c r="E36" s="34"/>
      <c r="F36" s="27"/>
      <c r="G36" s="31"/>
      <c r="H36" s="21"/>
      <c r="I36" s="22"/>
      <c r="J36" s="32"/>
      <c r="K36" s="32"/>
      <c r="L36" s="152"/>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row>
    <row r="37" spans="2:52" ht="15">
      <c r="B37" s="332" t="s">
        <v>641</v>
      </c>
      <c r="C37" s="333" t="s">
        <v>642</v>
      </c>
      <c r="D37" s="25"/>
      <c r="E37" s="34"/>
      <c r="F37" s="27"/>
      <c r="G37" s="31"/>
      <c r="H37" s="21"/>
      <c r="I37" s="22"/>
      <c r="J37" s="32"/>
      <c r="K37" s="32"/>
      <c r="L37" s="152"/>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row>
    <row r="38" spans="2:52" ht="15">
      <c r="B38" s="24"/>
      <c r="C38" s="25"/>
      <c r="D38" s="25"/>
      <c r="E38" s="34"/>
      <c r="F38" s="27"/>
      <c r="G38" s="31"/>
      <c r="H38" s="21"/>
      <c r="I38" s="22"/>
      <c r="J38" s="32"/>
      <c r="K38" s="32"/>
      <c r="L38" s="152"/>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row>
    <row r="39" spans="2:52" ht="15">
      <c r="B39" s="24"/>
      <c r="C39" s="25"/>
      <c r="D39" s="25"/>
      <c r="E39" s="34"/>
      <c r="F39" s="27"/>
      <c r="G39" s="31"/>
      <c r="H39" s="21"/>
      <c r="I39" s="22"/>
      <c r="J39" s="32"/>
      <c r="K39" s="32"/>
      <c r="L39" s="152"/>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row>
    <row r="40" spans="2:52" ht="15">
      <c r="B40" s="35"/>
      <c r="C40" s="36"/>
      <c r="D40" s="36"/>
      <c r="E40" s="37"/>
      <c r="F40" s="38"/>
      <c r="G40" s="39"/>
      <c r="H40" s="21"/>
      <c r="I40" s="22"/>
      <c r="J40" s="70"/>
      <c r="K40" s="70"/>
      <c r="L40" s="153"/>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row>
    <row r="41" spans="2:52" ht="15">
      <c r="B41" s="41" t="s">
        <v>79</v>
      </c>
      <c r="C41" s="42"/>
      <c r="D41" s="42" t="s">
        <v>80</v>
      </c>
      <c r="E41" s="43"/>
      <c r="F41" s="44"/>
      <c r="G41" s="45"/>
      <c r="H41" s="46"/>
      <c r="I41" s="3"/>
      <c r="J41" s="163"/>
      <c r="K41" s="163"/>
      <c r="L41" s="48"/>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8"/>
    </row>
    <row r="42" spans="2:52" ht="15">
      <c r="B42" s="49" t="s">
        <v>283</v>
      </c>
      <c r="C42" s="50" t="s">
        <v>67</v>
      </c>
      <c r="D42" s="50"/>
      <c r="E42" s="51"/>
      <c r="F42" s="52"/>
      <c r="G42" s="53"/>
      <c r="H42" s="54"/>
      <c r="I42" s="2"/>
      <c r="J42" s="234">
        <f aca="true" t="shared" si="32" ref="J42:J50">IF(AND(K42&gt;0,$D$72&gt;0),K42/$D$72,0)</f>
        <v>0</v>
      </c>
      <c r="K42" s="233">
        <f>K21</f>
        <v>0</v>
      </c>
      <c r="L42" s="233">
        <f aca="true" t="shared" si="33" ref="L42:AZ42">L21</f>
        <v>0</v>
      </c>
      <c r="M42" s="452">
        <f>M21</f>
        <v>0</v>
      </c>
      <c r="N42" s="453">
        <f t="shared" si="33"/>
        <v>0</v>
      </c>
      <c r="O42" s="453">
        <f t="shared" si="33"/>
        <v>0</v>
      </c>
      <c r="P42" s="453">
        <f t="shared" si="33"/>
        <v>0</v>
      </c>
      <c r="Q42" s="453">
        <f t="shared" si="33"/>
        <v>0</v>
      </c>
      <c r="R42" s="453">
        <f t="shared" si="33"/>
        <v>0</v>
      </c>
      <c r="S42" s="453">
        <f t="shared" si="33"/>
        <v>0</v>
      </c>
      <c r="T42" s="453">
        <f t="shared" si="33"/>
        <v>0</v>
      </c>
      <c r="U42" s="453">
        <f t="shared" si="33"/>
        <v>0</v>
      </c>
      <c r="V42" s="453">
        <f t="shared" si="33"/>
        <v>0</v>
      </c>
      <c r="W42" s="453">
        <f t="shared" si="33"/>
        <v>0</v>
      </c>
      <c r="X42" s="453">
        <f t="shared" si="33"/>
        <v>0</v>
      </c>
      <c r="Y42" s="453">
        <f t="shared" si="33"/>
        <v>0</v>
      </c>
      <c r="Z42" s="453">
        <f t="shared" si="33"/>
        <v>0</v>
      </c>
      <c r="AA42" s="453">
        <f t="shared" si="33"/>
        <v>0</v>
      </c>
      <c r="AB42" s="453">
        <f t="shared" si="33"/>
        <v>0</v>
      </c>
      <c r="AC42" s="453">
        <f t="shared" si="33"/>
        <v>0</v>
      </c>
      <c r="AD42" s="453">
        <f t="shared" si="33"/>
        <v>0</v>
      </c>
      <c r="AE42" s="453">
        <f t="shared" si="33"/>
        <v>0</v>
      </c>
      <c r="AF42" s="453">
        <f t="shared" si="33"/>
        <v>0</v>
      </c>
      <c r="AG42" s="453">
        <f t="shared" si="33"/>
        <v>0</v>
      </c>
      <c r="AH42" s="453">
        <f t="shared" si="33"/>
        <v>0</v>
      </c>
      <c r="AI42" s="453">
        <f t="shared" si="33"/>
        <v>0</v>
      </c>
      <c r="AJ42" s="453">
        <f t="shared" si="33"/>
        <v>0</v>
      </c>
      <c r="AK42" s="453">
        <f t="shared" si="33"/>
        <v>0</v>
      </c>
      <c r="AL42" s="453">
        <f t="shared" si="33"/>
        <v>0</v>
      </c>
      <c r="AM42" s="453">
        <f t="shared" si="33"/>
        <v>0</v>
      </c>
      <c r="AN42" s="453">
        <f t="shared" si="33"/>
        <v>0</v>
      </c>
      <c r="AO42" s="453">
        <f t="shared" si="33"/>
        <v>0</v>
      </c>
      <c r="AP42" s="453">
        <f t="shared" si="33"/>
        <v>0</v>
      </c>
      <c r="AQ42" s="453">
        <f t="shared" si="33"/>
        <v>0</v>
      </c>
      <c r="AR42" s="453">
        <f t="shared" si="33"/>
        <v>0</v>
      </c>
      <c r="AS42" s="453">
        <f t="shared" si="33"/>
        <v>0</v>
      </c>
      <c r="AT42" s="453">
        <f t="shared" si="33"/>
        <v>0</v>
      </c>
      <c r="AU42" s="453">
        <f t="shared" si="33"/>
        <v>0</v>
      </c>
      <c r="AV42" s="453">
        <f t="shared" si="33"/>
        <v>0</v>
      </c>
      <c r="AW42" s="453">
        <f t="shared" si="33"/>
        <v>0</v>
      </c>
      <c r="AX42" s="453">
        <f t="shared" si="33"/>
        <v>0</v>
      </c>
      <c r="AY42" s="453">
        <f t="shared" si="33"/>
        <v>0</v>
      </c>
      <c r="AZ42" s="454">
        <f t="shared" si="33"/>
        <v>0</v>
      </c>
    </row>
    <row r="43" spans="2:52" ht="15">
      <c r="B43" s="455" t="s">
        <v>683</v>
      </c>
      <c r="C43" s="456" t="s">
        <v>67</v>
      </c>
      <c r="D43" s="456"/>
      <c r="E43" s="457"/>
      <c r="F43" s="458"/>
      <c r="G43" s="236"/>
      <c r="H43" s="274"/>
      <c r="I43" s="2"/>
      <c r="J43" s="234">
        <f t="shared" si="32"/>
        <v>0</v>
      </c>
      <c r="K43" s="233">
        <f>AVERAGE(M43:AZ43)</f>
        <v>0</v>
      </c>
      <c r="L43" s="459">
        <f>SUM(M43:AZ43)</f>
        <v>0</v>
      </c>
      <c r="M43" s="460">
        <f>M29+M30</f>
        <v>0</v>
      </c>
      <c r="N43" s="460">
        <f aca="true" t="shared" si="34" ref="N43:AZ43">N29+N30</f>
        <v>0</v>
      </c>
      <c r="O43" s="460">
        <f t="shared" si="34"/>
        <v>0</v>
      </c>
      <c r="P43" s="460">
        <f t="shared" si="34"/>
        <v>0</v>
      </c>
      <c r="Q43" s="460">
        <f t="shared" si="34"/>
        <v>0</v>
      </c>
      <c r="R43" s="460">
        <f t="shared" si="34"/>
        <v>0</v>
      </c>
      <c r="S43" s="460">
        <f t="shared" si="34"/>
        <v>0</v>
      </c>
      <c r="T43" s="460">
        <f t="shared" si="34"/>
        <v>0</v>
      </c>
      <c r="U43" s="460">
        <f t="shared" si="34"/>
        <v>0</v>
      </c>
      <c r="V43" s="460">
        <f t="shared" si="34"/>
        <v>0</v>
      </c>
      <c r="W43" s="460">
        <f t="shared" si="34"/>
        <v>0</v>
      </c>
      <c r="X43" s="460">
        <f t="shared" si="34"/>
        <v>0</v>
      </c>
      <c r="Y43" s="460">
        <f t="shared" si="34"/>
        <v>0</v>
      </c>
      <c r="Z43" s="460">
        <f t="shared" si="34"/>
        <v>0</v>
      </c>
      <c r="AA43" s="460">
        <f t="shared" si="34"/>
        <v>0</v>
      </c>
      <c r="AB43" s="460">
        <f t="shared" si="34"/>
        <v>0</v>
      </c>
      <c r="AC43" s="460">
        <f t="shared" si="34"/>
        <v>0</v>
      </c>
      <c r="AD43" s="460">
        <f t="shared" si="34"/>
        <v>0</v>
      </c>
      <c r="AE43" s="460">
        <f t="shared" si="34"/>
        <v>0</v>
      </c>
      <c r="AF43" s="460">
        <f t="shared" si="34"/>
        <v>0</v>
      </c>
      <c r="AG43" s="460">
        <f t="shared" si="34"/>
        <v>0</v>
      </c>
      <c r="AH43" s="460">
        <f t="shared" si="34"/>
        <v>0</v>
      </c>
      <c r="AI43" s="460">
        <f t="shared" si="34"/>
        <v>0</v>
      </c>
      <c r="AJ43" s="460">
        <f t="shared" si="34"/>
        <v>0</v>
      </c>
      <c r="AK43" s="460">
        <f t="shared" si="34"/>
        <v>0</v>
      </c>
      <c r="AL43" s="460">
        <f t="shared" si="34"/>
        <v>0</v>
      </c>
      <c r="AM43" s="460">
        <f t="shared" si="34"/>
        <v>0</v>
      </c>
      <c r="AN43" s="460">
        <f t="shared" si="34"/>
        <v>0</v>
      </c>
      <c r="AO43" s="460">
        <f t="shared" si="34"/>
        <v>0</v>
      </c>
      <c r="AP43" s="460">
        <f t="shared" si="34"/>
        <v>0</v>
      </c>
      <c r="AQ43" s="460">
        <f t="shared" si="34"/>
        <v>0</v>
      </c>
      <c r="AR43" s="460">
        <f t="shared" si="34"/>
        <v>0</v>
      </c>
      <c r="AS43" s="460">
        <f t="shared" si="34"/>
        <v>0</v>
      </c>
      <c r="AT43" s="460">
        <f t="shared" si="34"/>
        <v>0</v>
      </c>
      <c r="AU43" s="460">
        <f t="shared" si="34"/>
        <v>0</v>
      </c>
      <c r="AV43" s="460">
        <f t="shared" si="34"/>
        <v>0</v>
      </c>
      <c r="AW43" s="460">
        <f t="shared" si="34"/>
        <v>0</v>
      </c>
      <c r="AX43" s="460">
        <f t="shared" si="34"/>
        <v>0</v>
      </c>
      <c r="AY43" s="460">
        <f t="shared" si="34"/>
        <v>0</v>
      </c>
      <c r="AZ43" s="460">
        <f t="shared" si="34"/>
        <v>0</v>
      </c>
    </row>
    <row r="44" spans="2:52" ht="15">
      <c r="B44" s="49" t="s">
        <v>685</v>
      </c>
      <c r="C44" s="456" t="s">
        <v>67</v>
      </c>
      <c r="D44" s="456"/>
      <c r="E44" s="457"/>
      <c r="F44" s="458"/>
      <c r="G44" s="236"/>
      <c r="H44" s="274"/>
      <c r="I44" s="2"/>
      <c r="J44" s="234">
        <f t="shared" si="32"/>
        <v>0</v>
      </c>
      <c r="K44" s="233">
        <f>AVERAGE(M44:AZ44)</f>
        <v>0</v>
      </c>
      <c r="L44" s="459">
        <f>SUM(M44:AZ44)</f>
        <v>0</v>
      </c>
      <c r="M44" s="457">
        <f>M22</f>
        <v>0</v>
      </c>
      <c r="N44" s="457">
        <f aca="true" t="shared" si="35" ref="N44:AZ44">N22</f>
        <v>0</v>
      </c>
      <c r="O44" s="457">
        <f t="shared" si="35"/>
        <v>0</v>
      </c>
      <c r="P44" s="457">
        <f t="shared" si="35"/>
        <v>0</v>
      </c>
      <c r="Q44" s="457">
        <f t="shared" si="35"/>
        <v>0</v>
      </c>
      <c r="R44" s="457">
        <f t="shared" si="35"/>
        <v>0</v>
      </c>
      <c r="S44" s="457">
        <f t="shared" si="35"/>
        <v>0</v>
      </c>
      <c r="T44" s="457">
        <f t="shared" si="35"/>
        <v>0</v>
      </c>
      <c r="U44" s="457">
        <f t="shared" si="35"/>
        <v>0</v>
      </c>
      <c r="V44" s="457">
        <f t="shared" si="35"/>
        <v>0</v>
      </c>
      <c r="W44" s="457">
        <f t="shared" si="35"/>
        <v>0</v>
      </c>
      <c r="X44" s="457">
        <f t="shared" si="35"/>
        <v>0</v>
      </c>
      <c r="Y44" s="457">
        <f t="shared" si="35"/>
        <v>0</v>
      </c>
      <c r="Z44" s="457">
        <f t="shared" si="35"/>
        <v>0</v>
      </c>
      <c r="AA44" s="457">
        <f t="shared" si="35"/>
        <v>0</v>
      </c>
      <c r="AB44" s="457">
        <f t="shared" si="35"/>
        <v>0</v>
      </c>
      <c r="AC44" s="457">
        <f t="shared" si="35"/>
        <v>0</v>
      </c>
      <c r="AD44" s="457">
        <f t="shared" si="35"/>
        <v>0</v>
      </c>
      <c r="AE44" s="457">
        <f t="shared" si="35"/>
        <v>0</v>
      </c>
      <c r="AF44" s="457">
        <f t="shared" si="35"/>
        <v>0</v>
      </c>
      <c r="AG44" s="457">
        <f t="shared" si="35"/>
        <v>0</v>
      </c>
      <c r="AH44" s="457">
        <f t="shared" si="35"/>
        <v>0</v>
      </c>
      <c r="AI44" s="457">
        <f t="shared" si="35"/>
        <v>0</v>
      </c>
      <c r="AJ44" s="457">
        <f t="shared" si="35"/>
        <v>0</v>
      </c>
      <c r="AK44" s="457">
        <f t="shared" si="35"/>
        <v>0</v>
      </c>
      <c r="AL44" s="457">
        <f t="shared" si="35"/>
        <v>0</v>
      </c>
      <c r="AM44" s="457">
        <f t="shared" si="35"/>
        <v>0</v>
      </c>
      <c r="AN44" s="457">
        <f t="shared" si="35"/>
        <v>0</v>
      </c>
      <c r="AO44" s="457">
        <f t="shared" si="35"/>
        <v>0</v>
      </c>
      <c r="AP44" s="457">
        <f t="shared" si="35"/>
        <v>0</v>
      </c>
      <c r="AQ44" s="457">
        <f t="shared" si="35"/>
        <v>0</v>
      </c>
      <c r="AR44" s="457">
        <f t="shared" si="35"/>
        <v>0</v>
      </c>
      <c r="AS44" s="457">
        <f t="shared" si="35"/>
        <v>0</v>
      </c>
      <c r="AT44" s="457">
        <f t="shared" si="35"/>
        <v>0</v>
      </c>
      <c r="AU44" s="457">
        <f t="shared" si="35"/>
        <v>0</v>
      </c>
      <c r="AV44" s="457">
        <f t="shared" si="35"/>
        <v>0</v>
      </c>
      <c r="AW44" s="457">
        <f t="shared" si="35"/>
        <v>0</v>
      </c>
      <c r="AX44" s="457">
        <f t="shared" si="35"/>
        <v>0</v>
      </c>
      <c r="AY44" s="457">
        <f t="shared" si="35"/>
        <v>0</v>
      </c>
      <c r="AZ44" s="457">
        <f t="shared" si="35"/>
        <v>0</v>
      </c>
    </row>
    <row r="45" spans="2:52" ht="15">
      <c r="B45" s="455" t="s">
        <v>686</v>
      </c>
      <c r="C45" s="456" t="s">
        <v>67</v>
      </c>
      <c r="D45" s="456"/>
      <c r="E45" s="457"/>
      <c r="F45" s="458"/>
      <c r="G45" s="236"/>
      <c r="H45" s="274"/>
      <c r="I45" s="2"/>
      <c r="J45" s="234">
        <f t="shared" si="32"/>
        <v>0</v>
      </c>
      <c r="K45" s="233">
        <f>AVERAGE(M45:AZ45)</f>
        <v>0</v>
      </c>
      <c r="L45" s="459">
        <f>SUM(M45:AZ45)</f>
        <v>0</v>
      </c>
      <c r="M45" s="457">
        <f>M31+M32</f>
        <v>0</v>
      </c>
      <c r="N45" s="457">
        <f aca="true" t="shared" si="36" ref="N45:AZ45">N31+N32</f>
        <v>0</v>
      </c>
      <c r="O45" s="457">
        <f t="shared" si="36"/>
        <v>0</v>
      </c>
      <c r="P45" s="457">
        <f t="shared" si="36"/>
        <v>0</v>
      </c>
      <c r="Q45" s="457">
        <f t="shared" si="36"/>
        <v>0</v>
      </c>
      <c r="R45" s="457">
        <f t="shared" si="36"/>
        <v>0</v>
      </c>
      <c r="S45" s="457">
        <f t="shared" si="36"/>
        <v>0</v>
      </c>
      <c r="T45" s="457">
        <f t="shared" si="36"/>
        <v>0</v>
      </c>
      <c r="U45" s="457">
        <f t="shared" si="36"/>
        <v>0</v>
      </c>
      <c r="V45" s="457">
        <f t="shared" si="36"/>
        <v>0</v>
      </c>
      <c r="W45" s="457">
        <f t="shared" si="36"/>
        <v>0</v>
      </c>
      <c r="X45" s="457">
        <f t="shared" si="36"/>
        <v>0</v>
      </c>
      <c r="Y45" s="457">
        <f t="shared" si="36"/>
        <v>0</v>
      </c>
      <c r="Z45" s="457">
        <f t="shared" si="36"/>
        <v>0</v>
      </c>
      <c r="AA45" s="457">
        <f t="shared" si="36"/>
        <v>0</v>
      </c>
      <c r="AB45" s="457">
        <f t="shared" si="36"/>
        <v>0</v>
      </c>
      <c r="AC45" s="457">
        <f t="shared" si="36"/>
        <v>0</v>
      </c>
      <c r="AD45" s="457">
        <f t="shared" si="36"/>
        <v>0</v>
      </c>
      <c r="AE45" s="457">
        <f t="shared" si="36"/>
        <v>0</v>
      </c>
      <c r="AF45" s="457">
        <f t="shared" si="36"/>
        <v>0</v>
      </c>
      <c r="AG45" s="457">
        <f t="shared" si="36"/>
        <v>0</v>
      </c>
      <c r="AH45" s="457">
        <f t="shared" si="36"/>
        <v>0</v>
      </c>
      <c r="AI45" s="457">
        <f t="shared" si="36"/>
        <v>0</v>
      </c>
      <c r="AJ45" s="457">
        <f t="shared" si="36"/>
        <v>0</v>
      </c>
      <c r="AK45" s="457">
        <f t="shared" si="36"/>
        <v>0</v>
      </c>
      <c r="AL45" s="457">
        <f t="shared" si="36"/>
        <v>0</v>
      </c>
      <c r="AM45" s="457">
        <f t="shared" si="36"/>
        <v>0</v>
      </c>
      <c r="AN45" s="457">
        <f t="shared" si="36"/>
        <v>0</v>
      </c>
      <c r="AO45" s="457">
        <f t="shared" si="36"/>
        <v>0</v>
      </c>
      <c r="AP45" s="457">
        <f t="shared" si="36"/>
        <v>0</v>
      </c>
      <c r="AQ45" s="457">
        <f t="shared" si="36"/>
        <v>0</v>
      </c>
      <c r="AR45" s="457">
        <f t="shared" si="36"/>
        <v>0</v>
      </c>
      <c r="AS45" s="457">
        <f t="shared" si="36"/>
        <v>0</v>
      </c>
      <c r="AT45" s="457">
        <f t="shared" si="36"/>
        <v>0</v>
      </c>
      <c r="AU45" s="457">
        <f t="shared" si="36"/>
        <v>0</v>
      </c>
      <c r="AV45" s="457">
        <f t="shared" si="36"/>
        <v>0</v>
      </c>
      <c r="AW45" s="457">
        <f t="shared" si="36"/>
        <v>0</v>
      </c>
      <c r="AX45" s="457">
        <f t="shared" si="36"/>
        <v>0</v>
      </c>
      <c r="AY45" s="457">
        <f t="shared" si="36"/>
        <v>0</v>
      </c>
      <c r="AZ45" s="457">
        <f t="shared" si="36"/>
        <v>0</v>
      </c>
    </row>
    <row r="46" spans="2:52" ht="15">
      <c r="B46" s="57" t="s">
        <v>682</v>
      </c>
      <c r="C46" s="58" t="s">
        <v>67</v>
      </c>
      <c r="D46" s="58"/>
      <c r="E46" s="59"/>
      <c r="F46" s="60"/>
      <c r="G46" s="61"/>
      <c r="H46" s="62"/>
      <c r="I46" s="2"/>
      <c r="J46" s="235">
        <f t="shared" si="32"/>
        <v>0</v>
      </c>
      <c r="K46" s="63">
        <f t="shared" si="12"/>
        <v>0</v>
      </c>
      <c r="L46" s="65">
        <f t="shared" si="13"/>
        <v>0</v>
      </c>
      <c r="M46" s="64">
        <f>M22+M31+M32</f>
        <v>0</v>
      </c>
      <c r="N46" s="64">
        <f aca="true" t="shared" si="37" ref="N46:AZ46">N22+N31+N32</f>
        <v>0</v>
      </c>
      <c r="O46" s="64">
        <f t="shared" si="37"/>
        <v>0</v>
      </c>
      <c r="P46" s="64">
        <f t="shared" si="37"/>
        <v>0</v>
      </c>
      <c r="Q46" s="64">
        <f t="shared" si="37"/>
        <v>0</v>
      </c>
      <c r="R46" s="64">
        <f t="shared" si="37"/>
        <v>0</v>
      </c>
      <c r="S46" s="64">
        <f t="shared" si="37"/>
        <v>0</v>
      </c>
      <c r="T46" s="64">
        <f t="shared" si="37"/>
        <v>0</v>
      </c>
      <c r="U46" s="64">
        <f t="shared" si="37"/>
        <v>0</v>
      </c>
      <c r="V46" s="64">
        <f t="shared" si="37"/>
        <v>0</v>
      </c>
      <c r="W46" s="64">
        <f t="shared" si="37"/>
        <v>0</v>
      </c>
      <c r="X46" s="64">
        <f t="shared" si="37"/>
        <v>0</v>
      </c>
      <c r="Y46" s="64">
        <f t="shared" si="37"/>
        <v>0</v>
      </c>
      <c r="Z46" s="64">
        <f t="shared" si="37"/>
        <v>0</v>
      </c>
      <c r="AA46" s="64">
        <f t="shared" si="37"/>
        <v>0</v>
      </c>
      <c r="AB46" s="64">
        <f t="shared" si="37"/>
        <v>0</v>
      </c>
      <c r="AC46" s="64">
        <f t="shared" si="37"/>
        <v>0</v>
      </c>
      <c r="AD46" s="64">
        <f t="shared" si="37"/>
        <v>0</v>
      </c>
      <c r="AE46" s="64">
        <f t="shared" si="37"/>
        <v>0</v>
      </c>
      <c r="AF46" s="64">
        <f t="shared" si="37"/>
        <v>0</v>
      </c>
      <c r="AG46" s="64">
        <f t="shared" si="37"/>
        <v>0</v>
      </c>
      <c r="AH46" s="64">
        <f t="shared" si="37"/>
        <v>0</v>
      </c>
      <c r="AI46" s="64">
        <f t="shared" si="37"/>
        <v>0</v>
      </c>
      <c r="AJ46" s="64">
        <f t="shared" si="37"/>
        <v>0</v>
      </c>
      <c r="AK46" s="64">
        <f t="shared" si="37"/>
        <v>0</v>
      </c>
      <c r="AL46" s="64">
        <f t="shared" si="37"/>
        <v>0</v>
      </c>
      <c r="AM46" s="64">
        <f t="shared" si="37"/>
        <v>0</v>
      </c>
      <c r="AN46" s="64">
        <f t="shared" si="37"/>
        <v>0</v>
      </c>
      <c r="AO46" s="64">
        <f t="shared" si="37"/>
        <v>0</v>
      </c>
      <c r="AP46" s="64">
        <f t="shared" si="37"/>
        <v>0</v>
      </c>
      <c r="AQ46" s="64">
        <f t="shared" si="37"/>
        <v>0</v>
      </c>
      <c r="AR46" s="64">
        <f t="shared" si="37"/>
        <v>0</v>
      </c>
      <c r="AS46" s="64">
        <f t="shared" si="37"/>
        <v>0</v>
      </c>
      <c r="AT46" s="64">
        <f t="shared" si="37"/>
        <v>0</v>
      </c>
      <c r="AU46" s="64">
        <f t="shared" si="37"/>
        <v>0</v>
      </c>
      <c r="AV46" s="64">
        <f t="shared" si="37"/>
        <v>0</v>
      </c>
      <c r="AW46" s="64">
        <f t="shared" si="37"/>
        <v>0</v>
      </c>
      <c r="AX46" s="64">
        <f t="shared" si="37"/>
        <v>0</v>
      </c>
      <c r="AY46" s="64">
        <f t="shared" si="37"/>
        <v>0</v>
      </c>
      <c r="AZ46" s="64">
        <f t="shared" si="37"/>
        <v>0</v>
      </c>
    </row>
    <row r="47" spans="2:52" ht="15">
      <c r="B47" s="57" t="s">
        <v>285</v>
      </c>
      <c r="C47" s="58" t="s">
        <v>71</v>
      </c>
      <c r="D47" s="58"/>
      <c r="E47" s="59"/>
      <c r="F47" s="60"/>
      <c r="G47" s="61"/>
      <c r="H47" s="62"/>
      <c r="I47" s="2"/>
      <c r="J47" s="235">
        <f t="shared" si="32"/>
        <v>0</v>
      </c>
      <c r="K47" s="63">
        <f t="shared" si="12"/>
        <v>0</v>
      </c>
      <c r="L47" s="65">
        <f t="shared" si="13"/>
        <v>0</v>
      </c>
      <c r="M47" s="64">
        <f>M27+M28</f>
        <v>0</v>
      </c>
      <c r="N47" s="64">
        <f aca="true" t="shared" si="38" ref="N47:AZ47">N27+N28</f>
        <v>0</v>
      </c>
      <c r="O47" s="64">
        <f t="shared" si="38"/>
        <v>0</v>
      </c>
      <c r="P47" s="64">
        <f t="shared" si="38"/>
        <v>0</v>
      </c>
      <c r="Q47" s="64">
        <f t="shared" si="38"/>
        <v>0</v>
      </c>
      <c r="R47" s="64">
        <f t="shared" si="38"/>
        <v>0</v>
      </c>
      <c r="S47" s="64">
        <f t="shared" si="38"/>
        <v>0</v>
      </c>
      <c r="T47" s="64">
        <f t="shared" si="38"/>
        <v>0</v>
      </c>
      <c r="U47" s="64">
        <f t="shared" si="38"/>
        <v>0</v>
      </c>
      <c r="V47" s="64">
        <f t="shared" si="38"/>
        <v>0</v>
      </c>
      <c r="W47" s="64">
        <f t="shared" si="38"/>
        <v>0</v>
      </c>
      <c r="X47" s="64">
        <f t="shared" si="38"/>
        <v>0</v>
      </c>
      <c r="Y47" s="64">
        <f t="shared" si="38"/>
        <v>0</v>
      </c>
      <c r="Z47" s="64">
        <f t="shared" si="38"/>
        <v>0</v>
      </c>
      <c r="AA47" s="64">
        <f t="shared" si="38"/>
        <v>0</v>
      </c>
      <c r="AB47" s="64">
        <f t="shared" si="38"/>
        <v>0</v>
      </c>
      <c r="AC47" s="64">
        <f t="shared" si="38"/>
        <v>0</v>
      </c>
      <c r="AD47" s="64">
        <f t="shared" si="38"/>
        <v>0</v>
      </c>
      <c r="AE47" s="64">
        <f t="shared" si="38"/>
        <v>0</v>
      </c>
      <c r="AF47" s="64">
        <f t="shared" si="38"/>
        <v>0</v>
      </c>
      <c r="AG47" s="64">
        <f t="shared" si="38"/>
        <v>0</v>
      </c>
      <c r="AH47" s="64">
        <f t="shared" si="38"/>
        <v>0</v>
      </c>
      <c r="AI47" s="64">
        <f t="shared" si="38"/>
        <v>0</v>
      </c>
      <c r="AJ47" s="64">
        <f t="shared" si="38"/>
        <v>0</v>
      </c>
      <c r="AK47" s="64">
        <f t="shared" si="38"/>
        <v>0</v>
      </c>
      <c r="AL47" s="64">
        <f t="shared" si="38"/>
        <v>0</v>
      </c>
      <c r="AM47" s="64">
        <f t="shared" si="38"/>
        <v>0</v>
      </c>
      <c r="AN47" s="64">
        <f t="shared" si="38"/>
        <v>0</v>
      </c>
      <c r="AO47" s="64">
        <f t="shared" si="38"/>
        <v>0</v>
      </c>
      <c r="AP47" s="64">
        <f t="shared" si="38"/>
        <v>0</v>
      </c>
      <c r="AQ47" s="64">
        <f t="shared" si="38"/>
        <v>0</v>
      </c>
      <c r="AR47" s="64">
        <f t="shared" si="38"/>
        <v>0</v>
      </c>
      <c r="AS47" s="64">
        <f t="shared" si="38"/>
        <v>0</v>
      </c>
      <c r="AT47" s="64">
        <f t="shared" si="38"/>
        <v>0</v>
      </c>
      <c r="AU47" s="64">
        <f t="shared" si="38"/>
        <v>0</v>
      </c>
      <c r="AV47" s="64">
        <f t="shared" si="38"/>
        <v>0</v>
      </c>
      <c r="AW47" s="64">
        <f t="shared" si="38"/>
        <v>0</v>
      </c>
      <c r="AX47" s="64">
        <f t="shared" si="38"/>
        <v>0</v>
      </c>
      <c r="AY47" s="64">
        <f t="shared" si="38"/>
        <v>0</v>
      </c>
      <c r="AZ47" s="64">
        <f t="shared" si="38"/>
        <v>0</v>
      </c>
    </row>
    <row r="48" spans="2:52" ht="15">
      <c r="B48" s="57" t="s">
        <v>571</v>
      </c>
      <c r="C48" s="58" t="s">
        <v>250</v>
      </c>
      <c r="D48" s="58"/>
      <c r="E48" s="59"/>
      <c r="F48" s="60"/>
      <c r="G48" s="236"/>
      <c r="H48" s="274"/>
      <c r="I48" s="2"/>
      <c r="J48" s="235">
        <f t="shared" si="32"/>
        <v>0</v>
      </c>
      <c r="K48" s="63">
        <f aca="true" t="shared" si="39" ref="K48">AVERAGE(M48:AZ48)</f>
        <v>0</v>
      </c>
      <c r="L48" s="65">
        <f aca="true" t="shared" si="40" ref="L48">SUM(M48:AZ48)</f>
        <v>0</v>
      </c>
      <c r="M48" s="64">
        <f>M25+M26</f>
        <v>0</v>
      </c>
      <c r="N48" s="64">
        <f aca="true" t="shared" si="41" ref="N48:AZ48">N25+N26</f>
        <v>0</v>
      </c>
      <c r="O48" s="64">
        <f t="shared" si="41"/>
        <v>0</v>
      </c>
      <c r="P48" s="64">
        <f t="shared" si="41"/>
        <v>0</v>
      </c>
      <c r="Q48" s="64">
        <f t="shared" si="41"/>
        <v>0</v>
      </c>
      <c r="R48" s="64">
        <f t="shared" si="41"/>
        <v>0</v>
      </c>
      <c r="S48" s="64">
        <f t="shared" si="41"/>
        <v>0</v>
      </c>
      <c r="T48" s="64">
        <f t="shared" si="41"/>
        <v>0</v>
      </c>
      <c r="U48" s="64">
        <f t="shared" si="41"/>
        <v>0</v>
      </c>
      <c r="V48" s="64">
        <f t="shared" si="41"/>
        <v>0</v>
      </c>
      <c r="W48" s="64">
        <f t="shared" si="41"/>
        <v>0</v>
      </c>
      <c r="X48" s="64">
        <f t="shared" si="41"/>
        <v>0</v>
      </c>
      <c r="Y48" s="64">
        <f t="shared" si="41"/>
        <v>0</v>
      </c>
      <c r="Z48" s="64">
        <f t="shared" si="41"/>
        <v>0</v>
      </c>
      <c r="AA48" s="64">
        <f t="shared" si="41"/>
        <v>0</v>
      </c>
      <c r="AB48" s="64">
        <f t="shared" si="41"/>
        <v>0</v>
      </c>
      <c r="AC48" s="64">
        <f t="shared" si="41"/>
        <v>0</v>
      </c>
      <c r="AD48" s="64">
        <f t="shared" si="41"/>
        <v>0</v>
      </c>
      <c r="AE48" s="64">
        <f t="shared" si="41"/>
        <v>0</v>
      </c>
      <c r="AF48" s="64">
        <f t="shared" si="41"/>
        <v>0</v>
      </c>
      <c r="AG48" s="64">
        <f t="shared" si="41"/>
        <v>0</v>
      </c>
      <c r="AH48" s="64">
        <f t="shared" si="41"/>
        <v>0</v>
      </c>
      <c r="AI48" s="64">
        <f t="shared" si="41"/>
        <v>0</v>
      </c>
      <c r="AJ48" s="64">
        <f t="shared" si="41"/>
        <v>0</v>
      </c>
      <c r="AK48" s="64">
        <f t="shared" si="41"/>
        <v>0</v>
      </c>
      <c r="AL48" s="64">
        <f t="shared" si="41"/>
        <v>0</v>
      </c>
      <c r="AM48" s="64">
        <f t="shared" si="41"/>
        <v>0</v>
      </c>
      <c r="AN48" s="64">
        <f t="shared" si="41"/>
        <v>0</v>
      </c>
      <c r="AO48" s="64">
        <f t="shared" si="41"/>
        <v>0</v>
      </c>
      <c r="AP48" s="64">
        <f t="shared" si="41"/>
        <v>0</v>
      </c>
      <c r="AQ48" s="64">
        <f t="shared" si="41"/>
        <v>0</v>
      </c>
      <c r="AR48" s="64">
        <f t="shared" si="41"/>
        <v>0</v>
      </c>
      <c r="AS48" s="64">
        <f t="shared" si="41"/>
        <v>0</v>
      </c>
      <c r="AT48" s="64">
        <f t="shared" si="41"/>
        <v>0</v>
      </c>
      <c r="AU48" s="64">
        <f t="shared" si="41"/>
        <v>0</v>
      </c>
      <c r="AV48" s="64">
        <f t="shared" si="41"/>
        <v>0</v>
      </c>
      <c r="AW48" s="64">
        <f t="shared" si="41"/>
        <v>0</v>
      </c>
      <c r="AX48" s="64">
        <f t="shared" si="41"/>
        <v>0</v>
      </c>
      <c r="AY48" s="64">
        <f t="shared" si="41"/>
        <v>0</v>
      </c>
      <c r="AZ48" s="64">
        <f t="shared" si="41"/>
        <v>0</v>
      </c>
    </row>
    <row r="49" spans="2:52" ht="15">
      <c r="B49" s="57" t="s">
        <v>572</v>
      </c>
      <c r="C49" s="58" t="s">
        <v>67</v>
      </c>
      <c r="D49" s="58"/>
      <c r="E49" s="59"/>
      <c r="F49" s="60"/>
      <c r="G49" s="236"/>
      <c r="H49" s="237"/>
      <c r="I49" s="238"/>
      <c r="J49" s="235">
        <f t="shared" si="32"/>
        <v>0</v>
      </c>
      <c r="K49" s="63">
        <f aca="true" t="shared" si="42" ref="K49:K58">AVERAGE(M49:AZ49)</f>
        <v>0</v>
      </c>
      <c r="L49" s="65">
        <f>SUM(M49:AZ49)</f>
        <v>0</v>
      </c>
      <c r="M49" s="64">
        <f>M34+M35</f>
        <v>0</v>
      </c>
      <c r="N49" s="64">
        <f aca="true" t="shared" si="43" ref="N49:AZ49">N34+N35</f>
        <v>0</v>
      </c>
      <c r="O49" s="64">
        <f t="shared" si="43"/>
        <v>0</v>
      </c>
      <c r="P49" s="64">
        <f t="shared" si="43"/>
        <v>0</v>
      </c>
      <c r="Q49" s="64">
        <f t="shared" si="43"/>
        <v>0</v>
      </c>
      <c r="R49" s="64">
        <f t="shared" si="43"/>
        <v>0</v>
      </c>
      <c r="S49" s="64">
        <f t="shared" si="43"/>
        <v>0</v>
      </c>
      <c r="T49" s="64">
        <f t="shared" si="43"/>
        <v>0</v>
      </c>
      <c r="U49" s="64">
        <f t="shared" si="43"/>
        <v>0</v>
      </c>
      <c r="V49" s="64">
        <f t="shared" si="43"/>
        <v>0</v>
      </c>
      <c r="W49" s="64">
        <f t="shared" si="43"/>
        <v>0</v>
      </c>
      <c r="X49" s="64">
        <f t="shared" si="43"/>
        <v>0</v>
      </c>
      <c r="Y49" s="64">
        <f t="shared" si="43"/>
        <v>0</v>
      </c>
      <c r="Z49" s="64">
        <f t="shared" si="43"/>
        <v>0</v>
      </c>
      <c r="AA49" s="64">
        <f t="shared" si="43"/>
        <v>0</v>
      </c>
      <c r="AB49" s="64">
        <f t="shared" si="43"/>
        <v>0</v>
      </c>
      <c r="AC49" s="64">
        <f t="shared" si="43"/>
        <v>0</v>
      </c>
      <c r="AD49" s="64">
        <f t="shared" si="43"/>
        <v>0</v>
      </c>
      <c r="AE49" s="64">
        <f t="shared" si="43"/>
        <v>0</v>
      </c>
      <c r="AF49" s="64">
        <f t="shared" si="43"/>
        <v>0</v>
      </c>
      <c r="AG49" s="64">
        <f t="shared" si="43"/>
        <v>0</v>
      </c>
      <c r="AH49" s="64">
        <f t="shared" si="43"/>
        <v>0</v>
      </c>
      <c r="AI49" s="64">
        <f t="shared" si="43"/>
        <v>0</v>
      </c>
      <c r="AJ49" s="64">
        <f t="shared" si="43"/>
        <v>0</v>
      </c>
      <c r="AK49" s="64">
        <f t="shared" si="43"/>
        <v>0</v>
      </c>
      <c r="AL49" s="64">
        <f t="shared" si="43"/>
        <v>0</v>
      </c>
      <c r="AM49" s="64">
        <f t="shared" si="43"/>
        <v>0</v>
      </c>
      <c r="AN49" s="64">
        <f t="shared" si="43"/>
        <v>0</v>
      </c>
      <c r="AO49" s="64">
        <f t="shared" si="43"/>
        <v>0</v>
      </c>
      <c r="AP49" s="64">
        <f t="shared" si="43"/>
        <v>0</v>
      </c>
      <c r="AQ49" s="64">
        <f t="shared" si="43"/>
        <v>0</v>
      </c>
      <c r="AR49" s="64">
        <f t="shared" si="43"/>
        <v>0</v>
      </c>
      <c r="AS49" s="64">
        <f t="shared" si="43"/>
        <v>0</v>
      </c>
      <c r="AT49" s="64">
        <f t="shared" si="43"/>
        <v>0</v>
      </c>
      <c r="AU49" s="64">
        <f t="shared" si="43"/>
        <v>0</v>
      </c>
      <c r="AV49" s="64">
        <f t="shared" si="43"/>
        <v>0</v>
      </c>
      <c r="AW49" s="64">
        <f t="shared" si="43"/>
        <v>0</v>
      </c>
      <c r="AX49" s="64">
        <f t="shared" si="43"/>
        <v>0</v>
      </c>
      <c r="AY49" s="64">
        <f t="shared" si="43"/>
        <v>0</v>
      </c>
      <c r="AZ49" s="64">
        <f t="shared" si="43"/>
        <v>0</v>
      </c>
    </row>
    <row r="50" spans="2:52" ht="15">
      <c r="B50" s="41" t="s">
        <v>287</v>
      </c>
      <c r="C50" s="42"/>
      <c r="D50" s="42"/>
      <c r="E50" s="42"/>
      <c r="F50" s="42"/>
      <c r="G50" s="42"/>
      <c r="H50" s="46"/>
      <c r="I50" s="3"/>
      <c r="J50" s="239">
        <f t="shared" si="32"/>
        <v>0</v>
      </c>
      <c r="K50" s="163">
        <f aca="true" t="shared" si="44" ref="K50">AVERAGE(M50:AZ50)</f>
        <v>0</v>
      </c>
      <c r="L50" s="48">
        <f aca="true" t="shared" si="45" ref="L50">SUM(M50:AZ50)</f>
        <v>0</v>
      </c>
      <c r="M50" s="47">
        <f>SUM(M46:M49)</f>
        <v>0</v>
      </c>
      <c r="N50" s="47">
        <f aca="true" t="shared" si="46" ref="N50:AZ50">SUM(N46:N49)</f>
        <v>0</v>
      </c>
      <c r="O50" s="47">
        <f t="shared" si="46"/>
        <v>0</v>
      </c>
      <c r="P50" s="47">
        <f t="shared" si="46"/>
        <v>0</v>
      </c>
      <c r="Q50" s="47">
        <f t="shared" si="46"/>
        <v>0</v>
      </c>
      <c r="R50" s="47">
        <f t="shared" si="46"/>
        <v>0</v>
      </c>
      <c r="S50" s="47">
        <f t="shared" si="46"/>
        <v>0</v>
      </c>
      <c r="T50" s="47">
        <f t="shared" si="46"/>
        <v>0</v>
      </c>
      <c r="U50" s="47">
        <f t="shared" si="46"/>
        <v>0</v>
      </c>
      <c r="V50" s="47">
        <f t="shared" si="46"/>
        <v>0</v>
      </c>
      <c r="W50" s="47">
        <f t="shared" si="46"/>
        <v>0</v>
      </c>
      <c r="X50" s="47">
        <f t="shared" si="46"/>
        <v>0</v>
      </c>
      <c r="Y50" s="47">
        <f t="shared" si="46"/>
        <v>0</v>
      </c>
      <c r="Z50" s="47">
        <f t="shared" si="46"/>
        <v>0</v>
      </c>
      <c r="AA50" s="47">
        <f t="shared" si="46"/>
        <v>0</v>
      </c>
      <c r="AB50" s="47">
        <f t="shared" si="46"/>
        <v>0</v>
      </c>
      <c r="AC50" s="47">
        <f t="shared" si="46"/>
        <v>0</v>
      </c>
      <c r="AD50" s="47">
        <f t="shared" si="46"/>
        <v>0</v>
      </c>
      <c r="AE50" s="47">
        <f t="shared" si="46"/>
        <v>0</v>
      </c>
      <c r="AF50" s="47">
        <f t="shared" si="46"/>
        <v>0</v>
      </c>
      <c r="AG50" s="47">
        <f t="shared" si="46"/>
        <v>0</v>
      </c>
      <c r="AH50" s="47">
        <f t="shared" si="46"/>
        <v>0</v>
      </c>
      <c r="AI50" s="47">
        <f t="shared" si="46"/>
        <v>0</v>
      </c>
      <c r="AJ50" s="47">
        <f t="shared" si="46"/>
        <v>0</v>
      </c>
      <c r="AK50" s="47">
        <f t="shared" si="46"/>
        <v>0</v>
      </c>
      <c r="AL50" s="47">
        <f t="shared" si="46"/>
        <v>0</v>
      </c>
      <c r="AM50" s="47">
        <f t="shared" si="46"/>
        <v>0</v>
      </c>
      <c r="AN50" s="47">
        <f t="shared" si="46"/>
        <v>0</v>
      </c>
      <c r="AO50" s="47">
        <f t="shared" si="46"/>
        <v>0</v>
      </c>
      <c r="AP50" s="47">
        <f t="shared" si="46"/>
        <v>0</v>
      </c>
      <c r="AQ50" s="47">
        <f t="shared" si="46"/>
        <v>0</v>
      </c>
      <c r="AR50" s="47">
        <f t="shared" si="46"/>
        <v>0</v>
      </c>
      <c r="AS50" s="47">
        <f t="shared" si="46"/>
        <v>0</v>
      </c>
      <c r="AT50" s="47">
        <f t="shared" si="46"/>
        <v>0</v>
      </c>
      <c r="AU50" s="47">
        <f t="shared" si="46"/>
        <v>0</v>
      </c>
      <c r="AV50" s="47">
        <f t="shared" si="46"/>
        <v>0</v>
      </c>
      <c r="AW50" s="47">
        <f t="shared" si="46"/>
        <v>0</v>
      </c>
      <c r="AX50" s="47">
        <f t="shared" si="46"/>
        <v>0</v>
      </c>
      <c r="AY50" s="47">
        <f t="shared" si="46"/>
        <v>0</v>
      </c>
      <c r="AZ50" s="47">
        <f t="shared" si="46"/>
        <v>0</v>
      </c>
    </row>
    <row r="51" spans="2:52" ht="15">
      <c r="B51" s="24"/>
      <c r="C51" s="25"/>
      <c r="D51" s="25"/>
      <c r="E51" s="26"/>
      <c r="F51" s="27"/>
      <c r="G51" s="20"/>
      <c r="H51" s="21"/>
      <c r="I51" s="22"/>
      <c r="J51" s="32"/>
      <c r="K51" s="32"/>
      <c r="L51" s="152"/>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row>
    <row r="52" spans="2:52" ht="15">
      <c r="B52" s="24"/>
      <c r="C52" s="25"/>
      <c r="D52" s="25"/>
      <c r="E52" s="26"/>
      <c r="F52" s="27"/>
      <c r="G52" s="20"/>
      <c r="H52" s="21"/>
      <c r="I52" s="22"/>
      <c r="J52" s="32"/>
      <c r="K52" s="32"/>
      <c r="L52" s="152"/>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row>
    <row r="53" spans="2:52" ht="15">
      <c r="B53" s="24"/>
      <c r="C53" s="25"/>
      <c r="D53" s="25"/>
      <c r="E53" s="26"/>
      <c r="F53" s="27"/>
      <c r="G53" s="31"/>
      <c r="H53" s="21"/>
      <c r="I53" s="22"/>
      <c r="J53" s="32"/>
      <c r="K53" s="32"/>
      <c r="L53" s="152"/>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row>
    <row r="54" spans="2:52" ht="15">
      <c r="B54" s="24"/>
      <c r="C54" s="25"/>
      <c r="D54" s="25"/>
      <c r="E54" s="26"/>
      <c r="F54" s="27"/>
      <c r="G54" s="31"/>
      <c r="H54" s="21"/>
      <c r="I54" s="22"/>
      <c r="J54" s="32"/>
      <c r="K54" s="32"/>
      <c r="L54" s="152"/>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row>
    <row r="55" spans="2:52" ht="15">
      <c r="B55" s="24"/>
      <c r="C55" s="25"/>
      <c r="D55" s="25"/>
      <c r="E55" s="26"/>
      <c r="F55" s="27"/>
      <c r="G55" s="31"/>
      <c r="H55" s="21"/>
      <c r="I55" s="22"/>
      <c r="J55" s="32"/>
      <c r="K55" s="32"/>
      <c r="L55" s="152"/>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row>
    <row r="56" spans="2:52" ht="15">
      <c r="B56" s="24"/>
      <c r="C56" s="25"/>
      <c r="D56" s="25"/>
      <c r="E56" s="26"/>
      <c r="F56" s="27"/>
      <c r="G56" s="31"/>
      <c r="H56" s="21"/>
      <c r="I56" s="22"/>
      <c r="J56" s="32"/>
      <c r="K56" s="32"/>
      <c r="L56" s="152"/>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row>
    <row r="57" spans="2:52" ht="15">
      <c r="B57" s="66"/>
      <c r="C57" s="67"/>
      <c r="D57" s="67"/>
      <c r="E57" s="68"/>
      <c r="F57" s="69"/>
      <c r="G57" s="31"/>
      <c r="H57" s="21"/>
      <c r="I57" s="22"/>
      <c r="J57" s="70"/>
      <c r="K57" s="70"/>
      <c r="L57" s="154"/>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row>
    <row r="58" spans="2:52" ht="15">
      <c r="B58" s="41" t="s">
        <v>79</v>
      </c>
      <c r="C58" s="42"/>
      <c r="D58" s="42"/>
      <c r="E58" s="42"/>
      <c r="F58" s="42"/>
      <c r="G58" s="42"/>
      <c r="H58" s="46"/>
      <c r="I58" s="3"/>
      <c r="J58" s="239">
        <f aca="true" t="shared" si="47" ref="J58">IF(AND(K58&gt;0,$D$72&gt;0),K58/$D$72,0)</f>
        <v>0</v>
      </c>
      <c r="K58" s="163">
        <f t="shared" si="42"/>
        <v>0</v>
      </c>
      <c r="L58" s="48">
        <f aca="true" t="shared" si="48" ref="L58">SUM(M58:AZ58)</f>
        <v>0</v>
      </c>
      <c r="M58" s="47">
        <f>M46+M47+M49</f>
        <v>0</v>
      </c>
      <c r="N58" s="47">
        <f aca="true" t="shared" si="49" ref="N58:AZ58">N46+N47+N49</f>
        <v>0</v>
      </c>
      <c r="O58" s="47">
        <f t="shared" si="49"/>
        <v>0</v>
      </c>
      <c r="P58" s="47">
        <f t="shared" si="49"/>
        <v>0</v>
      </c>
      <c r="Q58" s="47">
        <f t="shared" si="49"/>
        <v>0</v>
      </c>
      <c r="R58" s="47">
        <f t="shared" si="49"/>
        <v>0</v>
      </c>
      <c r="S58" s="47">
        <f t="shared" si="49"/>
        <v>0</v>
      </c>
      <c r="T58" s="47">
        <f t="shared" si="49"/>
        <v>0</v>
      </c>
      <c r="U58" s="47">
        <f t="shared" si="49"/>
        <v>0</v>
      </c>
      <c r="V58" s="47">
        <f t="shared" si="49"/>
        <v>0</v>
      </c>
      <c r="W58" s="47">
        <f t="shared" si="49"/>
        <v>0</v>
      </c>
      <c r="X58" s="47">
        <f t="shared" si="49"/>
        <v>0</v>
      </c>
      <c r="Y58" s="47">
        <f t="shared" si="49"/>
        <v>0</v>
      </c>
      <c r="Z58" s="47">
        <f t="shared" si="49"/>
        <v>0</v>
      </c>
      <c r="AA58" s="47">
        <f t="shared" si="49"/>
        <v>0</v>
      </c>
      <c r="AB58" s="47">
        <f t="shared" si="49"/>
        <v>0</v>
      </c>
      <c r="AC58" s="47">
        <f t="shared" si="49"/>
        <v>0</v>
      </c>
      <c r="AD58" s="47">
        <f t="shared" si="49"/>
        <v>0</v>
      </c>
      <c r="AE58" s="47">
        <f t="shared" si="49"/>
        <v>0</v>
      </c>
      <c r="AF58" s="47">
        <f t="shared" si="49"/>
        <v>0</v>
      </c>
      <c r="AG58" s="47">
        <f t="shared" si="49"/>
        <v>0</v>
      </c>
      <c r="AH58" s="47">
        <f t="shared" si="49"/>
        <v>0</v>
      </c>
      <c r="AI58" s="47">
        <f t="shared" si="49"/>
        <v>0</v>
      </c>
      <c r="AJ58" s="47">
        <f t="shared" si="49"/>
        <v>0</v>
      </c>
      <c r="AK58" s="47">
        <f t="shared" si="49"/>
        <v>0</v>
      </c>
      <c r="AL58" s="47">
        <f t="shared" si="49"/>
        <v>0</v>
      </c>
      <c r="AM58" s="47">
        <f t="shared" si="49"/>
        <v>0</v>
      </c>
      <c r="AN58" s="47">
        <f t="shared" si="49"/>
        <v>0</v>
      </c>
      <c r="AO58" s="47">
        <f t="shared" si="49"/>
        <v>0</v>
      </c>
      <c r="AP58" s="47">
        <f t="shared" si="49"/>
        <v>0</v>
      </c>
      <c r="AQ58" s="47">
        <f t="shared" si="49"/>
        <v>0</v>
      </c>
      <c r="AR58" s="47">
        <f t="shared" si="49"/>
        <v>0</v>
      </c>
      <c r="AS58" s="47">
        <f t="shared" si="49"/>
        <v>0</v>
      </c>
      <c r="AT58" s="47">
        <f t="shared" si="49"/>
        <v>0</v>
      </c>
      <c r="AU58" s="47">
        <f t="shared" si="49"/>
        <v>0</v>
      </c>
      <c r="AV58" s="47">
        <f t="shared" si="49"/>
        <v>0</v>
      </c>
      <c r="AW58" s="47">
        <f t="shared" si="49"/>
        <v>0</v>
      </c>
      <c r="AX58" s="47">
        <f t="shared" si="49"/>
        <v>0</v>
      </c>
      <c r="AY58" s="47">
        <f t="shared" si="49"/>
        <v>0</v>
      </c>
      <c r="AZ58" s="47">
        <f t="shared" si="49"/>
        <v>0</v>
      </c>
    </row>
    <row r="59" spans="2:52" ht="4.5" customHeight="1">
      <c r="B59" s="72"/>
      <c r="C59" s="10"/>
      <c r="D59" s="10"/>
      <c r="E59" s="10"/>
      <c r="F59" s="10"/>
      <c r="G59" s="10"/>
      <c r="H59" s="73"/>
      <c r="I59" s="10"/>
      <c r="J59" s="164"/>
      <c r="K59" s="164"/>
      <c r="L59" s="155"/>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row>
    <row r="60" spans="2:52" ht="15">
      <c r="B60" s="75"/>
      <c r="C60" s="2"/>
      <c r="D60" s="2"/>
      <c r="E60" s="2"/>
      <c r="F60" s="2"/>
      <c r="G60" s="2"/>
      <c r="H60" s="76"/>
      <c r="I60" s="2"/>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row>
    <row r="61" spans="2:52" ht="15">
      <c r="B61" s="41" t="s">
        <v>85</v>
      </c>
      <c r="C61" s="42"/>
      <c r="D61" s="42"/>
      <c r="E61" s="42"/>
      <c r="F61" s="42"/>
      <c r="G61" s="42"/>
      <c r="H61" s="46"/>
      <c r="I61" s="3"/>
      <c r="J61" s="163"/>
      <c r="K61" s="163"/>
      <c r="L61" s="48"/>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8"/>
    </row>
    <row r="62" spans="11:52" ht="15">
      <c r="K62" s="164"/>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row>
    <row r="63" spans="2:13" ht="15">
      <c r="B63" s="41" t="s">
        <v>86</v>
      </c>
      <c r="C63" s="42" t="s">
        <v>87</v>
      </c>
      <c r="D63" s="42" t="s">
        <v>80</v>
      </c>
      <c r="E63" s="42"/>
      <c r="F63" s="42"/>
      <c r="G63" s="42"/>
      <c r="H63" s="46"/>
      <c r="I63" s="3"/>
      <c r="J63" s="3"/>
      <c r="K63" s="161"/>
      <c r="L63" s="156">
        <f>NPV($D$84,M50:AZ50)</f>
        <v>0</v>
      </c>
      <c r="M63" s="78"/>
    </row>
    <row r="64" spans="2:12" ht="15">
      <c r="B64" s="16"/>
      <c r="C64" s="57" t="s">
        <v>282</v>
      </c>
      <c r="D64" s="17" t="s">
        <v>67</v>
      </c>
      <c r="E64" s="17"/>
      <c r="F64" s="17"/>
      <c r="G64" s="17"/>
      <c r="H64" s="79"/>
      <c r="K64" s="28"/>
      <c r="L64" s="157">
        <f>NPV($D$84,M46:AZ46)</f>
        <v>0</v>
      </c>
    </row>
    <row r="65" spans="2:12" ht="15">
      <c r="B65" s="24"/>
      <c r="C65" s="57" t="s">
        <v>285</v>
      </c>
      <c r="D65" s="25" t="s">
        <v>71</v>
      </c>
      <c r="E65" s="25"/>
      <c r="F65" s="25"/>
      <c r="G65" s="25"/>
      <c r="H65" s="30"/>
      <c r="K65" s="28"/>
      <c r="L65" s="158">
        <f>NPV($D$84,M47:AZ47)</f>
        <v>0</v>
      </c>
    </row>
    <row r="66" spans="2:12" ht="15">
      <c r="B66" s="24"/>
      <c r="C66" s="57" t="s">
        <v>286</v>
      </c>
      <c r="D66" s="25" t="s">
        <v>71</v>
      </c>
      <c r="E66" s="25"/>
      <c r="F66" s="25"/>
      <c r="G66" s="25"/>
      <c r="H66" s="30"/>
      <c r="K66" s="28"/>
      <c r="L66" s="158">
        <f>NPV($D$84,M49:AZ49)</f>
        <v>0</v>
      </c>
    </row>
    <row r="67" spans="2:12" ht="15">
      <c r="B67" s="41"/>
      <c r="C67" s="42" t="s">
        <v>161</v>
      </c>
      <c r="D67" s="42" t="s">
        <v>88</v>
      </c>
      <c r="E67" s="42"/>
      <c r="F67" s="42"/>
      <c r="G67" s="42"/>
      <c r="H67" s="46"/>
      <c r="I67" s="3"/>
      <c r="J67" s="3"/>
      <c r="K67" s="161"/>
      <c r="L67" s="156">
        <f>NPV($D$84,M50:AZ50)</f>
        <v>0</v>
      </c>
    </row>
    <row r="68" spans="2:12" ht="15">
      <c r="B68" s="143"/>
      <c r="C68" s="144"/>
      <c r="D68" s="144"/>
      <c r="E68" s="144"/>
      <c r="F68" s="144"/>
      <c r="G68" s="144"/>
      <c r="H68" s="145"/>
      <c r="K68" s="28"/>
      <c r="L68" s="142"/>
    </row>
    <row r="69" spans="2:12" ht="15">
      <c r="B69" s="10"/>
      <c r="C69" s="10"/>
      <c r="D69" s="10"/>
      <c r="E69" s="10"/>
      <c r="F69" s="10"/>
      <c r="G69" s="10"/>
      <c r="H69" s="10"/>
      <c r="I69" s="10"/>
      <c r="J69" s="10"/>
      <c r="K69" s="10"/>
      <c r="L69" s="142"/>
    </row>
    <row r="70" spans="2:12" ht="15">
      <c r="B70" s="10"/>
      <c r="C70" s="10"/>
      <c r="D70" s="10"/>
      <c r="E70" s="10"/>
      <c r="F70" s="10"/>
      <c r="G70" s="10"/>
      <c r="H70" s="10"/>
      <c r="I70" s="10"/>
      <c r="J70" s="10"/>
      <c r="K70" s="10"/>
      <c r="L70" s="142"/>
    </row>
    <row r="71" spans="2:12" ht="15">
      <c r="B71" s="10" t="s">
        <v>262</v>
      </c>
      <c r="C71" s="10"/>
      <c r="D71" s="10"/>
      <c r="E71" s="10"/>
      <c r="F71" s="10"/>
      <c r="G71" s="10"/>
      <c r="H71" s="10"/>
      <c r="I71" s="10"/>
      <c r="J71" s="10"/>
      <c r="K71" s="10" t="s">
        <v>288</v>
      </c>
      <c r="L71" s="142"/>
    </row>
    <row r="72" spans="2:12" ht="15">
      <c r="B72" s="1" t="s">
        <v>263</v>
      </c>
      <c r="C72" s="1"/>
      <c r="D72" s="1">
        <f>SUM('Green+Social Interface'!D18:D22,'Green+Social Interface'!I18:I22,'Green+Social Interface'!O18:O22,'Green+Social Interface'!T18:T22)</f>
        <v>0</v>
      </c>
      <c r="E72" s="10"/>
      <c r="F72" s="10"/>
      <c r="G72" s="10"/>
      <c r="H72" s="10"/>
      <c r="I72" s="10"/>
      <c r="J72" s="10"/>
      <c r="K72" t="s">
        <v>649</v>
      </c>
      <c r="L72" s="142"/>
    </row>
    <row r="73" spans="2:12" ht="15">
      <c r="B73" s="1" t="s">
        <v>607</v>
      </c>
      <c r="C73" s="1"/>
      <c r="D73" s="1">
        <f>'Green+Social Interface'!U70+'Green+Social Interface'!U73+'Green+Social Interface'!U74</f>
        <v>0</v>
      </c>
      <c r="E73" s="10"/>
      <c r="F73" s="10"/>
      <c r="G73" s="10"/>
      <c r="H73" s="10"/>
      <c r="I73" s="10"/>
      <c r="J73" s="10"/>
      <c r="K73" t="s">
        <v>650</v>
      </c>
      <c r="L73" s="142"/>
    </row>
    <row r="74" spans="2:12" ht="15">
      <c r="B74" s="1" t="s">
        <v>284</v>
      </c>
      <c r="C74" s="1"/>
      <c r="D74" s="230">
        <f>'Green+Social Interface'!$I$35</f>
        <v>0.025</v>
      </c>
      <c r="E74" s="10"/>
      <c r="F74" s="10"/>
      <c r="G74" s="10"/>
      <c r="H74" s="10"/>
      <c r="I74" s="10"/>
      <c r="J74" s="10"/>
      <c r="K74" t="s">
        <v>651</v>
      </c>
      <c r="L74" s="142"/>
    </row>
    <row r="75" spans="2:12" ht="15.6">
      <c r="B75" s="167" t="s">
        <v>253</v>
      </c>
      <c r="C75" s="1"/>
      <c r="D75" s="1">
        <f>D76-'Green+Social Interface'!F62</f>
        <v>0</v>
      </c>
      <c r="E75" s="10"/>
      <c r="F75" s="10"/>
      <c r="G75" s="10"/>
      <c r="H75" s="10"/>
      <c r="I75" s="10"/>
      <c r="J75" s="10"/>
      <c r="K75" s="10"/>
      <c r="L75" s="142"/>
    </row>
    <row r="76" spans="2:12" ht="15">
      <c r="B76" s="1" t="s">
        <v>264</v>
      </c>
      <c r="C76" s="1"/>
      <c r="D76" s="1">
        <f>'Green+Social Interface'!$I$71+'Green+Social Interface'!$I$73+'Green+Social Interface'!$I$75+'Green+Social Interface'!$I$76</f>
        <v>0</v>
      </c>
      <c r="E76" s="10"/>
      <c r="F76" s="10"/>
      <c r="G76" s="10"/>
      <c r="H76" s="10"/>
      <c r="I76" s="10"/>
      <c r="J76" s="10"/>
      <c r="K76" s="10"/>
      <c r="L76" s="142"/>
    </row>
    <row r="77" spans="2:12" ht="15">
      <c r="B77" s="1" t="s">
        <v>266</v>
      </c>
      <c r="C77" s="1"/>
      <c r="D77" s="1">
        <f>('Green+Social Interface'!$I$70*'Green+Social Interface'!$J$70-'Green+Social Interface'!$I$71)+('Green+Social Interface'!$I$72*'Green+Social Interface'!$J$72-'Green+Social Interface'!$I$73)+('Green+Social Interface'!$I$74*'Green+Social Interface'!$J$74-'Green+Social Interface'!$I$75)+'Green+Social Interface'!$I$77+'Green+Social Interface'!$I$78</f>
        <v>0</v>
      </c>
      <c r="E77" s="10"/>
      <c r="F77" s="10"/>
      <c r="G77" s="10"/>
      <c r="H77" s="10"/>
      <c r="I77" s="10"/>
      <c r="J77" s="10"/>
      <c r="K77" s="10"/>
      <c r="L77" s="142"/>
    </row>
    <row r="78" spans="2:12" ht="15">
      <c r="B78" s="1" t="s">
        <v>256</v>
      </c>
      <c r="C78" s="1"/>
      <c r="D78" s="231" t="e">
        <f>('Green+Social Interface'!$F$61-'Green+Social Interface'!$F$62)/'Green+Social Interface'!$U$11%</f>
        <v>#DIV/0!</v>
      </c>
      <c r="E78" s="10"/>
      <c r="F78" s="10"/>
      <c r="G78" s="10"/>
      <c r="H78" s="10"/>
      <c r="I78" s="10"/>
      <c r="J78" s="10"/>
      <c r="K78" s="10"/>
      <c r="L78" s="142"/>
    </row>
    <row r="79" spans="2:4" ht="15">
      <c r="B79" s="1" t="s">
        <v>257</v>
      </c>
      <c r="C79" s="1"/>
      <c r="D79" s="231" t="e">
        <f>'Green+Social Interface'!$F$62/'Green+Social Interface'!$U$11%</f>
        <v>#DIV/0!</v>
      </c>
    </row>
    <row r="80" spans="2:24" ht="15">
      <c r="B80" s="1" t="s">
        <v>258</v>
      </c>
      <c r="C80" s="1"/>
      <c r="D80" s="231" t="e">
        <f>(D77)/'Green+Social Interface'!$U$11%</f>
        <v>#DIV/0!</v>
      </c>
      <c r="S80" s="131"/>
      <c r="T80" s="132"/>
      <c r="U80" s="132"/>
      <c r="V80" s="132"/>
      <c r="W80" s="132"/>
      <c r="X80" s="132"/>
    </row>
    <row r="81" spans="2:4" ht="15">
      <c r="B81" s="1" t="s">
        <v>259</v>
      </c>
      <c r="C81" s="1"/>
      <c r="D81" s="231" t="e">
        <f>D76/'Green+Social Interface'!$U$11%</f>
        <v>#DIV/0!</v>
      </c>
    </row>
    <row r="82" spans="2:4" ht="15">
      <c r="B82" s="1" t="s">
        <v>426</v>
      </c>
      <c r="C82" s="1"/>
      <c r="D82" s="1">
        <f>'Green+Social Interface'!$I$78</f>
        <v>0</v>
      </c>
    </row>
    <row r="84" spans="2:4" ht="15">
      <c r="B84" s="1" t="s">
        <v>100</v>
      </c>
      <c r="C84" s="1"/>
      <c r="D84" s="230">
        <f>'Green+Social Interface'!I34+'Green+Social Interface'!I35</f>
        <v>0.07500000000000001</v>
      </c>
    </row>
    <row r="85" spans="2:4" ht="15">
      <c r="B85" s="1" t="s">
        <v>552</v>
      </c>
      <c r="C85" s="1"/>
      <c r="D85" s="1" t="str">
        <f>'Green+Social Interface'!$D$39</f>
        <v>Bendigo</v>
      </c>
    </row>
    <row r="86" spans="2:4" ht="15">
      <c r="B86" s="1" t="s">
        <v>561</v>
      </c>
      <c r="C86" s="1"/>
      <c r="D86" s="1">
        <f>SUM('Green+Social Interface'!$K$18:$K$22)+SUM('Green+Social Interface'!$V$18:$V$22)</f>
        <v>21</v>
      </c>
    </row>
  </sheetData>
  <sheetProtection algorithmName="SHA-512" hashValue="k/PaEfV3Vw/G52ZMQhs/YVSCmmfT7PT56QvZs5ndEOGofJaUOmSbNeyUSIlbYZyce/BZg7TEG45lUElIP363Qg==" saltValue="EHJPudF168nOhzRO0h1mUQ==" spinCount="100000" sheet="1" selectLockedCells="1" selectUnlockedCells="1"/>
  <printOptions/>
  <pageMargins left="0.7" right="0.7" top="0.75" bottom="0.75" header="0.3" footer="0.3"/>
  <pageSetup horizontalDpi="1200" verticalDpi="12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799847602844"/>
  </sheetPr>
  <dimension ref="A1:AZ97"/>
  <sheetViews>
    <sheetView workbookViewId="0" topLeftCell="A16">
      <selection activeCell="M63" sqref="M63"/>
    </sheetView>
  </sheetViews>
  <sheetFormatPr defaultColWidth="8.7109375" defaultRowHeight="15"/>
  <cols>
    <col min="2" max="2" width="28.7109375" style="0" bestFit="1" customWidth="1"/>
    <col min="3" max="3" width="42.421875" style="0" customWidth="1"/>
    <col min="5" max="5" width="11.421875" style="0" bestFit="1" customWidth="1"/>
    <col min="10" max="10" width="10.421875" style="0" customWidth="1"/>
    <col min="11" max="11" width="14.421875" style="0" bestFit="1" customWidth="1"/>
    <col min="12" max="52" width="14.421875" style="0" customWidth="1"/>
  </cols>
  <sheetData>
    <row r="1" spans="2:52" ht="15">
      <c r="B1" s="3" t="s">
        <v>13</v>
      </c>
      <c r="C1" s="4"/>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row>
    <row r="2" spans="2:52" ht="15">
      <c r="B2" s="3" t="s">
        <v>14</v>
      </c>
      <c r="C2" s="4"/>
      <c r="F2" s="5"/>
      <c r="G2" s="5"/>
      <c r="H2" s="171" t="s">
        <v>218</v>
      </c>
      <c r="I2" s="172"/>
      <c r="J2" s="172"/>
      <c r="K2" s="172"/>
      <c r="L2" s="5">
        <v>15</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5:52" ht="15">
      <c r="E3" s="126"/>
      <c r="F3" s="5"/>
      <c r="G3" s="5" t="s">
        <v>16</v>
      </c>
      <c r="H3" s="6">
        <v>0</v>
      </c>
      <c r="I3" s="6"/>
      <c r="J3" s="6"/>
      <c r="K3" s="6"/>
      <c r="L3" s="6"/>
      <c r="M3" s="6">
        <v>1</v>
      </c>
      <c r="N3" s="6">
        <v>2</v>
      </c>
      <c r="O3" s="6">
        <v>3</v>
      </c>
      <c r="P3" s="6">
        <v>4</v>
      </c>
      <c r="Q3" s="6">
        <v>5</v>
      </c>
      <c r="R3" s="6">
        <v>6</v>
      </c>
      <c r="S3" s="6">
        <v>7</v>
      </c>
      <c r="T3" s="6">
        <v>8</v>
      </c>
      <c r="U3" s="6">
        <v>9</v>
      </c>
      <c r="V3" s="6">
        <v>10</v>
      </c>
      <c r="W3" s="6">
        <v>11</v>
      </c>
      <c r="X3" s="6">
        <v>12</v>
      </c>
      <c r="Y3" s="6">
        <v>13</v>
      </c>
      <c r="Z3" s="6">
        <v>14</v>
      </c>
      <c r="AA3" s="6">
        <v>15</v>
      </c>
      <c r="AB3" s="6">
        <v>16</v>
      </c>
      <c r="AC3" s="6">
        <v>17</v>
      </c>
      <c r="AD3" s="6">
        <v>18</v>
      </c>
      <c r="AE3" s="6">
        <v>19</v>
      </c>
      <c r="AF3" s="6">
        <v>20</v>
      </c>
      <c r="AG3" s="6">
        <v>21</v>
      </c>
      <c r="AH3" s="6">
        <v>22</v>
      </c>
      <c r="AI3" s="6">
        <v>23</v>
      </c>
      <c r="AJ3" s="6">
        <v>24</v>
      </c>
      <c r="AK3" s="6">
        <v>25</v>
      </c>
      <c r="AL3" s="6">
        <v>26</v>
      </c>
      <c r="AM3" s="6">
        <v>27</v>
      </c>
      <c r="AN3" s="6">
        <v>28</v>
      </c>
      <c r="AO3" s="6">
        <v>29</v>
      </c>
      <c r="AP3" s="6">
        <v>30</v>
      </c>
      <c r="AQ3" s="6">
        <v>31</v>
      </c>
      <c r="AR3" s="6">
        <v>32</v>
      </c>
      <c r="AS3" s="6">
        <v>33</v>
      </c>
      <c r="AT3" s="6">
        <v>34</v>
      </c>
      <c r="AU3" s="6">
        <v>35</v>
      </c>
      <c r="AV3" s="6">
        <v>36</v>
      </c>
      <c r="AW3" s="6">
        <v>37</v>
      </c>
      <c r="AX3" s="6">
        <v>38</v>
      </c>
      <c r="AY3" s="6">
        <v>39</v>
      </c>
      <c r="AZ3" s="6">
        <v>40</v>
      </c>
    </row>
    <row r="4" spans="2:52" ht="15">
      <c r="B4" s="7" t="s">
        <v>17</v>
      </c>
      <c r="C4" s="8" t="s">
        <v>18</v>
      </c>
      <c r="D4" s="8" t="s">
        <v>19</v>
      </c>
      <c r="E4" s="8" t="s">
        <v>501</v>
      </c>
      <c r="F4" s="8" t="s">
        <v>502</v>
      </c>
      <c r="G4" s="8" t="s">
        <v>217</v>
      </c>
      <c r="H4" s="9" t="s">
        <v>23</v>
      </c>
      <c r="I4" s="10"/>
      <c r="J4" s="160" t="s">
        <v>152</v>
      </c>
      <c r="K4" s="160" t="s">
        <v>151</v>
      </c>
      <c r="L4" s="9" t="s">
        <v>24</v>
      </c>
      <c r="M4" s="12" t="s">
        <v>25</v>
      </c>
      <c r="N4" s="12" t="s">
        <v>26</v>
      </c>
      <c r="O4" s="12" t="s">
        <v>27</v>
      </c>
      <c r="P4" s="12" t="s">
        <v>28</v>
      </c>
      <c r="Q4" s="12" t="s">
        <v>29</v>
      </c>
      <c r="R4" s="12" t="s">
        <v>30</v>
      </c>
      <c r="S4" s="12" t="s">
        <v>31</v>
      </c>
      <c r="T4" s="12" t="s">
        <v>32</v>
      </c>
      <c r="U4" s="12" t="s">
        <v>33</v>
      </c>
      <c r="V4" s="12" t="s">
        <v>34</v>
      </c>
      <c r="W4" s="12" t="s">
        <v>35</v>
      </c>
      <c r="X4" s="12" t="s">
        <v>36</v>
      </c>
      <c r="Y4" s="12" t="s">
        <v>37</v>
      </c>
      <c r="Z4" s="12" t="s">
        <v>38</v>
      </c>
      <c r="AA4" s="12" t="s">
        <v>39</v>
      </c>
      <c r="AB4" s="12" t="s">
        <v>40</v>
      </c>
      <c r="AC4" s="12" t="s">
        <v>41</v>
      </c>
      <c r="AD4" s="12" t="s">
        <v>42</v>
      </c>
      <c r="AE4" s="12" t="s">
        <v>43</v>
      </c>
      <c r="AF4" s="12" t="s">
        <v>44</v>
      </c>
      <c r="AG4" s="12" t="s">
        <v>45</v>
      </c>
      <c r="AH4" s="12" t="s">
        <v>46</v>
      </c>
      <c r="AI4" s="12" t="s">
        <v>47</v>
      </c>
      <c r="AJ4" s="12" t="s">
        <v>48</v>
      </c>
      <c r="AK4" s="12" t="s">
        <v>49</v>
      </c>
      <c r="AL4" s="12" t="s">
        <v>50</v>
      </c>
      <c r="AM4" s="12" t="s">
        <v>51</v>
      </c>
      <c r="AN4" s="12" t="s">
        <v>52</v>
      </c>
      <c r="AO4" s="12" t="s">
        <v>53</v>
      </c>
      <c r="AP4" s="12" t="s">
        <v>54</v>
      </c>
      <c r="AQ4" s="12" t="s">
        <v>55</v>
      </c>
      <c r="AR4" s="12" t="s">
        <v>56</v>
      </c>
      <c r="AS4" s="12" t="s">
        <v>57</v>
      </c>
      <c r="AT4" s="12" t="s">
        <v>58</v>
      </c>
      <c r="AU4" s="12" t="s">
        <v>59</v>
      </c>
      <c r="AV4" s="12" t="s">
        <v>60</v>
      </c>
      <c r="AW4" s="12" t="s">
        <v>61</v>
      </c>
      <c r="AX4" s="12" t="s">
        <v>62</v>
      </c>
      <c r="AY4" s="12" t="s">
        <v>63</v>
      </c>
      <c r="AZ4" s="13" t="s">
        <v>64</v>
      </c>
    </row>
    <row r="5" spans="2:12" ht="15">
      <c r="B5" s="14" t="s">
        <v>69</v>
      </c>
      <c r="G5" s="118" t="s">
        <v>216</v>
      </c>
      <c r="H5" s="15"/>
      <c r="J5" s="28"/>
      <c r="K5" s="28"/>
      <c r="L5" s="15"/>
    </row>
    <row r="6" spans="1:52" ht="15">
      <c r="A6" s="118" t="s">
        <v>220</v>
      </c>
      <c r="B6" s="24" t="s">
        <v>5</v>
      </c>
      <c r="C6" s="29" t="s">
        <v>10</v>
      </c>
      <c r="D6" s="25" t="s">
        <v>71</v>
      </c>
      <c r="E6" s="266">
        <f>'Green+Social Interface'!$J$18*'Green+Social Interface'!$I$18</f>
        <v>0</v>
      </c>
      <c r="F6" s="319">
        <f>$I$84</f>
        <v>14.481454056144837</v>
      </c>
      <c r="G6" s="329">
        <f>F6*VLOOKUP('Green+Social Interface'!$I$38,'Look-ups'!$A$15:$B$43,2,0)</f>
        <v>15.350341299513529</v>
      </c>
      <c r="H6" s="21">
        <f>'Green+Social Interface'!$O$6</f>
        <v>0.07</v>
      </c>
      <c r="I6" s="22"/>
      <c r="J6" s="168">
        <f aca="true" t="shared" si="0" ref="J6:J25">IF(AND(K6&gt;0,$C$67&gt;0),K6/$C$67,0)</f>
        <v>0</v>
      </c>
      <c r="K6" s="32">
        <f>AVERAGE(M6:AZ6)</f>
        <v>0</v>
      </c>
      <c r="L6" s="151">
        <f>SUM(M6:AZ6)</f>
        <v>0</v>
      </c>
      <c r="M6" s="23">
        <f>(G6*E6)*(1-H6)</f>
        <v>0</v>
      </c>
      <c r="N6" s="23">
        <f aca="true" t="shared" si="1" ref="N6:AZ6">M6*(1+$C$70)</f>
        <v>0</v>
      </c>
      <c r="O6" s="23">
        <f t="shared" si="1"/>
        <v>0</v>
      </c>
      <c r="P6" s="23">
        <f t="shared" si="1"/>
        <v>0</v>
      </c>
      <c r="Q6" s="23">
        <f t="shared" si="1"/>
        <v>0</v>
      </c>
      <c r="R6" s="23">
        <f t="shared" si="1"/>
        <v>0</v>
      </c>
      <c r="S6" s="23">
        <f t="shared" si="1"/>
        <v>0</v>
      </c>
      <c r="T6" s="23">
        <f t="shared" si="1"/>
        <v>0</v>
      </c>
      <c r="U6" s="23">
        <f t="shared" si="1"/>
        <v>0</v>
      </c>
      <c r="V6" s="23">
        <f t="shared" si="1"/>
        <v>0</v>
      </c>
      <c r="W6" s="23">
        <f t="shared" si="1"/>
        <v>0</v>
      </c>
      <c r="X6" s="23">
        <f t="shared" si="1"/>
        <v>0</v>
      </c>
      <c r="Y6" s="23">
        <f t="shared" si="1"/>
        <v>0</v>
      </c>
      <c r="Z6" s="23">
        <f t="shared" si="1"/>
        <v>0</v>
      </c>
      <c r="AA6" s="23">
        <f t="shared" si="1"/>
        <v>0</v>
      </c>
      <c r="AB6" s="23">
        <f t="shared" si="1"/>
        <v>0</v>
      </c>
      <c r="AC6" s="23">
        <f t="shared" si="1"/>
        <v>0</v>
      </c>
      <c r="AD6" s="23">
        <f t="shared" si="1"/>
        <v>0</v>
      </c>
      <c r="AE6" s="23">
        <f t="shared" si="1"/>
        <v>0</v>
      </c>
      <c r="AF6" s="23">
        <f t="shared" si="1"/>
        <v>0</v>
      </c>
      <c r="AG6" s="23">
        <f t="shared" si="1"/>
        <v>0</v>
      </c>
      <c r="AH6" s="23">
        <f t="shared" si="1"/>
        <v>0</v>
      </c>
      <c r="AI6" s="23">
        <f t="shared" si="1"/>
        <v>0</v>
      </c>
      <c r="AJ6" s="23">
        <f t="shared" si="1"/>
        <v>0</v>
      </c>
      <c r="AK6" s="23">
        <f t="shared" si="1"/>
        <v>0</v>
      </c>
      <c r="AL6" s="23">
        <f t="shared" si="1"/>
        <v>0</v>
      </c>
      <c r="AM6" s="23">
        <f t="shared" si="1"/>
        <v>0</v>
      </c>
      <c r="AN6" s="23">
        <f t="shared" si="1"/>
        <v>0</v>
      </c>
      <c r="AO6" s="23">
        <f t="shared" si="1"/>
        <v>0</v>
      </c>
      <c r="AP6" s="23">
        <f t="shared" si="1"/>
        <v>0</v>
      </c>
      <c r="AQ6" s="23">
        <f t="shared" si="1"/>
        <v>0</v>
      </c>
      <c r="AR6" s="23">
        <f t="shared" si="1"/>
        <v>0</v>
      </c>
      <c r="AS6" s="23">
        <f t="shared" si="1"/>
        <v>0</v>
      </c>
      <c r="AT6" s="23">
        <f t="shared" si="1"/>
        <v>0</v>
      </c>
      <c r="AU6" s="23">
        <f t="shared" si="1"/>
        <v>0</v>
      </c>
      <c r="AV6" s="23">
        <f t="shared" si="1"/>
        <v>0</v>
      </c>
      <c r="AW6" s="23">
        <f t="shared" si="1"/>
        <v>0</v>
      </c>
      <c r="AX6" s="23">
        <f t="shared" si="1"/>
        <v>0</v>
      </c>
      <c r="AY6" s="23">
        <f t="shared" si="1"/>
        <v>0</v>
      </c>
      <c r="AZ6" s="23">
        <f t="shared" si="1"/>
        <v>0</v>
      </c>
    </row>
    <row r="7" spans="1:52" ht="15">
      <c r="A7" s="118" t="s">
        <v>220</v>
      </c>
      <c r="B7" s="24"/>
      <c r="C7" s="25" t="s">
        <v>6</v>
      </c>
      <c r="D7" s="25" t="s">
        <v>71</v>
      </c>
      <c r="E7" s="266">
        <f>'Green+Social Interface'!$J$19*'Green+Social Interface'!$I$19</f>
        <v>0</v>
      </c>
      <c r="F7" s="319">
        <f>$I$84</f>
        <v>14.481454056144837</v>
      </c>
      <c r="G7" s="329">
        <f>F7*VLOOKUP('Green+Social Interface'!$I$38,'Look-ups'!$A$15:$B$43,2,0)</f>
        <v>15.350341299513529</v>
      </c>
      <c r="H7" s="21">
        <f>'Green+Social Interface'!$O$6</f>
        <v>0.07</v>
      </c>
      <c r="I7" s="125"/>
      <c r="J7" s="168">
        <f t="shared" si="0"/>
        <v>0</v>
      </c>
      <c r="K7" s="32">
        <f aca="true" t="shared" si="2" ref="K7:K27">AVERAGE(M7:AZ7)</f>
        <v>0</v>
      </c>
      <c r="L7" s="151">
        <f aca="true" t="shared" si="3" ref="L7:L27">SUM(M7:AZ7)</f>
        <v>0</v>
      </c>
      <c r="M7" s="23">
        <f aca="true" t="shared" si="4" ref="M7:M25">(G7*E7)*(1-H7)</f>
        <v>0</v>
      </c>
      <c r="N7" s="23">
        <f aca="true" t="shared" si="5" ref="N7:AZ7">M7*(1+$C$70)</f>
        <v>0</v>
      </c>
      <c r="O7" s="23">
        <f t="shared" si="5"/>
        <v>0</v>
      </c>
      <c r="P7" s="23">
        <f t="shared" si="5"/>
        <v>0</v>
      </c>
      <c r="Q7" s="23">
        <f t="shared" si="5"/>
        <v>0</v>
      </c>
      <c r="R7" s="23">
        <f t="shared" si="5"/>
        <v>0</v>
      </c>
      <c r="S7" s="23">
        <f t="shared" si="5"/>
        <v>0</v>
      </c>
      <c r="T7" s="23">
        <f t="shared" si="5"/>
        <v>0</v>
      </c>
      <c r="U7" s="23">
        <f t="shared" si="5"/>
        <v>0</v>
      </c>
      <c r="V7" s="23">
        <f t="shared" si="5"/>
        <v>0</v>
      </c>
      <c r="W7" s="23">
        <f t="shared" si="5"/>
        <v>0</v>
      </c>
      <c r="X7" s="23">
        <f t="shared" si="5"/>
        <v>0</v>
      </c>
      <c r="Y7" s="23">
        <f t="shared" si="5"/>
        <v>0</v>
      </c>
      <c r="Z7" s="23">
        <f t="shared" si="5"/>
        <v>0</v>
      </c>
      <c r="AA7" s="23">
        <f t="shared" si="5"/>
        <v>0</v>
      </c>
      <c r="AB7" s="23">
        <f t="shared" si="5"/>
        <v>0</v>
      </c>
      <c r="AC7" s="23">
        <f t="shared" si="5"/>
        <v>0</v>
      </c>
      <c r="AD7" s="23">
        <f t="shared" si="5"/>
        <v>0</v>
      </c>
      <c r="AE7" s="23">
        <f t="shared" si="5"/>
        <v>0</v>
      </c>
      <c r="AF7" s="23">
        <f t="shared" si="5"/>
        <v>0</v>
      </c>
      <c r="AG7" s="23">
        <f t="shared" si="5"/>
        <v>0</v>
      </c>
      <c r="AH7" s="23">
        <f t="shared" si="5"/>
        <v>0</v>
      </c>
      <c r="AI7" s="23">
        <f t="shared" si="5"/>
        <v>0</v>
      </c>
      <c r="AJ7" s="23">
        <f t="shared" si="5"/>
        <v>0</v>
      </c>
      <c r="AK7" s="23">
        <f t="shared" si="5"/>
        <v>0</v>
      </c>
      <c r="AL7" s="23">
        <f t="shared" si="5"/>
        <v>0</v>
      </c>
      <c r="AM7" s="23">
        <f t="shared" si="5"/>
        <v>0</v>
      </c>
      <c r="AN7" s="23">
        <f t="shared" si="5"/>
        <v>0</v>
      </c>
      <c r="AO7" s="23">
        <f t="shared" si="5"/>
        <v>0</v>
      </c>
      <c r="AP7" s="23">
        <f t="shared" si="5"/>
        <v>0</v>
      </c>
      <c r="AQ7" s="23">
        <f t="shared" si="5"/>
        <v>0</v>
      </c>
      <c r="AR7" s="23">
        <f t="shared" si="5"/>
        <v>0</v>
      </c>
      <c r="AS7" s="23">
        <f t="shared" si="5"/>
        <v>0</v>
      </c>
      <c r="AT7" s="23">
        <f t="shared" si="5"/>
        <v>0</v>
      </c>
      <c r="AU7" s="23">
        <f t="shared" si="5"/>
        <v>0</v>
      </c>
      <c r="AV7" s="23">
        <f t="shared" si="5"/>
        <v>0</v>
      </c>
      <c r="AW7" s="23">
        <f t="shared" si="5"/>
        <v>0</v>
      </c>
      <c r="AX7" s="23">
        <f t="shared" si="5"/>
        <v>0</v>
      </c>
      <c r="AY7" s="23">
        <f t="shared" si="5"/>
        <v>0</v>
      </c>
      <c r="AZ7" s="23">
        <f t="shared" si="5"/>
        <v>0</v>
      </c>
    </row>
    <row r="8" spans="1:52" ht="15">
      <c r="A8" s="118" t="s">
        <v>220</v>
      </c>
      <c r="B8" s="24"/>
      <c r="C8" s="25" t="s">
        <v>7</v>
      </c>
      <c r="D8" s="25" t="s">
        <v>71</v>
      </c>
      <c r="E8" s="266">
        <f>'Green+Social Interface'!$J$20*'Green+Social Interface'!$I$20</f>
        <v>0</v>
      </c>
      <c r="F8" s="319">
        <f>$I$84</f>
        <v>14.481454056144837</v>
      </c>
      <c r="G8" s="329">
        <f>F8*VLOOKUP('Green+Social Interface'!$I$38,'Look-ups'!$A$15:$B$43,2,0)</f>
        <v>15.350341299513529</v>
      </c>
      <c r="H8" s="21">
        <f>'Green+Social Interface'!$O$6</f>
        <v>0.07</v>
      </c>
      <c r="I8" s="125"/>
      <c r="J8" s="168">
        <f t="shared" si="0"/>
        <v>0</v>
      </c>
      <c r="K8" s="32">
        <f t="shared" si="2"/>
        <v>0</v>
      </c>
      <c r="L8" s="151">
        <f t="shared" si="3"/>
        <v>0</v>
      </c>
      <c r="M8" s="23">
        <f t="shared" si="4"/>
        <v>0</v>
      </c>
      <c r="N8" s="23">
        <f aca="true" t="shared" si="6" ref="N8:AZ8">M8*(1+$C$70)</f>
        <v>0</v>
      </c>
      <c r="O8" s="23">
        <f t="shared" si="6"/>
        <v>0</v>
      </c>
      <c r="P8" s="23">
        <f t="shared" si="6"/>
        <v>0</v>
      </c>
      <c r="Q8" s="23">
        <f t="shared" si="6"/>
        <v>0</v>
      </c>
      <c r="R8" s="23">
        <f t="shared" si="6"/>
        <v>0</v>
      </c>
      <c r="S8" s="23">
        <f t="shared" si="6"/>
        <v>0</v>
      </c>
      <c r="T8" s="23">
        <f t="shared" si="6"/>
        <v>0</v>
      </c>
      <c r="U8" s="23">
        <f t="shared" si="6"/>
        <v>0</v>
      </c>
      <c r="V8" s="23">
        <f t="shared" si="6"/>
        <v>0</v>
      </c>
      <c r="W8" s="23">
        <f t="shared" si="6"/>
        <v>0</v>
      </c>
      <c r="X8" s="23">
        <f t="shared" si="6"/>
        <v>0</v>
      </c>
      <c r="Y8" s="23">
        <f t="shared" si="6"/>
        <v>0</v>
      </c>
      <c r="Z8" s="23">
        <f t="shared" si="6"/>
        <v>0</v>
      </c>
      <c r="AA8" s="23">
        <f t="shared" si="6"/>
        <v>0</v>
      </c>
      <c r="AB8" s="23">
        <f t="shared" si="6"/>
        <v>0</v>
      </c>
      <c r="AC8" s="23">
        <f t="shared" si="6"/>
        <v>0</v>
      </c>
      <c r="AD8" s="23">
        <f t="shared" si="6"/>
        <v>0</v>
      </c>
      <c r="AE8" s="23">
        <f t="shared" si="6"/>
        <v>0</v>
      </c>
      <c r="AF8" s="23">
        <f t="shared" si="6"/>
        <v>0</v>
      </c>
      <c r="AG8" s="23">
        <f t="shared" si="6"/>
        <v>0</v>
      </c>
      <c r="AH8" s="23">
        <f t="shared" si="6"/>
        <v>0</v>
      </c>
      <c r="AI8" s="23">
        <f t="shared" si="6"/>
        <v>0</v>
      </c>
      <c r="AJ8" s="23">
        <f t="shared" si="6"/>
        <v>0</v>
      </c>
      <c r="AK8" s="23">
        <f t="shared" si="6"/>
        <v>0</v>
      </c>
      <c r="AL8" s="23">
        <f t="shared" si="6"/>
        <v>0</v>
      </c>
      <c r="AM8" s="23">
        <f t="shared" si="6"/>
        <v>0</v>
      </c>
      <c r="AN8" s="23">
        <f t="shared" si="6"/>
        <v>0</v>
      </c>
      <c r="AO8" s="23">
        <f t="shared" si="6"/>
        <v>0</v>
      </c>
      <c r="AP8" s="23">
        <f t="shared" si="6"/>
        <v>0</v>
      </c>
      <c r="AQ8" s="23">
        <f t="shared" si="6"/>
        <v>0</v>
      </c>
      <c r="AR8" s="23">
        <f t="shared" si="6"/>
        <v>0</v>
      </c>
      <c r="AS8" s="23">
        <f t="shared" si="6"/>
        <v>0</v>
      </c>
      <c r="AT8" s="23">
        <f t="shared" si="6"/>
        <v>0</v>
      </c>
      <c r="AU8" s="23">
        <f t="shared" si="6"/>
        <v>0</v>
      </c>
      <c r="AV8" s="23">
        <f t="shared" si="6"/>
        <v>0</v>
      </c>
      <c r="AW8" s="23">
        <f t="shared" si="6"/>
        <v>0</v>
      </c>
      <c r="AX8" s="23">
        <f t="shared" si="6"/>
        <v>0</v>
      </c>
      <c r="AY8" s="23">
        <f t="shared" si="6"/>
        <v>0</v>
      </c>
      <c r="AZ8" s="23">
        <f t="shared" si="6"/>
        <v>0</v>
      </c>
    </row>
    <row r="9" spans="1:52" ht="15">
      <c r="A9" s="118" t="s">
        <v>220</v>
      </c>
      <c r="B9" s="24"/>
      <c r="C9" s="25" t="s">
        <v>8</v>
      </c>
      <c r="D9" s="25" t="s">
        <v>71</v>
      </c>
      <c r="E9" s="266">
        <f>'Green+Social Interface'!$J$21*'Green+Social Interface'!$I$21</f>
        <v>0</v>
      </c>
      <c r="F9" s="319">
        <f>$I$84</f>
        <v>14.481454056144837</v>
      </c>
      <c r="G9" s="329">
        <f>F9*VLOOKUP('Green+Social Interface'!$I$38,'Look-ups'!$A$15:$B$43,2,0)</f>
        <v>15.350341299513529</v>
      </c>
      <c r="H9" s="21">
        <f>'Green+Social Interface'!$O$6</f>
        <v>0.07</v>
      </c>
      <c r="I9" s="22"/>
      <c r="J9" s="168">
        <f t="shared" si="0"/>
        <v>0</v>
      </c>
      <c r="K9" s="32">
        <f t="shared" si="2"/>
        <v>0</v>
      </c>
      <c r="L9" s="151">
        <f t="shared" si="3"/>
        <v>0</v>
      </c>
      <c r="M9" s="23">
        <f t="shared" si="4"/>
        <v>0</v>
      </c>
      <c r="N9" s="23">
        <f aca="true" t="shared" si="7" ref="N9:AZ9">M9*(1+$C$70)</f>
        <v>0</v>
      </c>
      <c r="O9" s="23">
        <f t="shared" si="7"/>
        <v>0</v>
      </c>
      <c r="P9" s="23">
        <f t="shared" si="7"/>
        <v>0</v>
      </c>
      <c r="Q9" s="23">
        <f t="shared" si="7"/>
        <v>0</v>
      </c>
      <c r="R9" s="23">
        <f t="shared" si="7"/>
        <v>0</v>
      </c>
      <c r="S9" s="23">
        <f t="shared" si="7"/>
        <v>0</v>
      </c>
      <c r="T9" s="23">
        <f t="shared" si="7"/>
        <v>0</v>
      </c>
      <c r="U9" s="23">
        <f t="shared" si="7"/>
        <v>0</v>
      </c>
      <c r="V9" s="23">
        <f t="shared" si="7"/>
        <v>0</v>
      </c>
      <c r="W9" s="23">
        <f t="shared" si="7"/>
        <v>0</v>
      </c>
      <c r="X9" s="23">
        <f t="shared" si="7"/>
        <v>0</v>
      </c>
      <c r="Y9" s="23">
        <f t="shared" si="7"/>
        <v>0</v>
      </c>
      <c r="Z9" s="23">
        <f t="shared" si="7"/>
        <v>0</v>
      </c>
      <c r="AA9" s="23">
        <f t="shared" si="7"/>
        <v>0</v>
      </c>
      <c r="AB9" s="23">
        <f t="shared" si="7"/>
        <v>0</v>
      </c>
      <c r="AC9" s="23">
        <f t="shared" si="7"/>
        <v>0</v>
      </c>
      <c r="AD9" s="23">
        <f t="shared" si="7"/>
        <v>0</v>
      </c>
      <c r="AE9" s="23">
        <f t="shared" si="7"/>
        <v>0</v>
      </c>
      <c r="AF9" s="23">
        <f t="shared" si="7"/>
        <v>0</v>
      </c>
      <c r="AG9" s="23">
        <f t="shared" si="7"/>
        <v>0</v>
      </c>
      <c r="AH9" s="23">
        <f t="shared" si="7"/>
        <v>0</v>
      </c>
      <c r="AI9" s="23">
        <f t="shared" si="7"/>
        <v>0</v>
      </c>
      <c r="AJ9" s="23">
        <f t="shared" si="7"/>
        <v>0</v>
      </c>
      <c r="AK9" s="23">
        <f t="shared" si="7"/>
        <v>0</v>
      </c>
      <c r="AL9" s="23">
        <f t="shared" si="7"/>
        <v>0</v>
      </c>
      <c r="AM9" s="23">
        <f t="shared" si="7"/>
        <v>0</v>
      </c>
      <c r="AN9" s="23">
        <f t="shared" si="7"/>
        <v>0</v>
      </c>
      <c r="AO9" s="23">
        <f t="shared" si="7"/>
        <v>0</v>
      </c>
      <c r="AP9" s="23">
        <f t="shared" si="7"/>
        <v>0</v>
      </c>
      <c r="AQ9" s="23">
        <f t="shared" si="7"/>
        <v>0</v>
      </c>
      <c r="AR9" s="23">
        <f t="shared" si="7"/>
        <v>0</v>
      </c>
      <c r="AS9" s="23">
        <f t="shared" si="7"/>
        <v>0</v>
      </c>
      <c r="AT9" s="23">
        <f t="shared" si="7"/>
        <v>0</v>
      </c>
      <c r="AU9" s="23">
        <f t="shared" si="7"/>
        <v>0</v>
      </c>
      <c r="AV9" s="23">
        <f t="shared" si="7"/>
        <v>0</v>
      </c>
      <c r="AW9" s="23">
        <f t="shared" si="7"/>
        <v>0</v>
      </c>
      <c r="AX9" s="23">
        <f t="shared" si="7"/>
        <v>0</v>
      </c>
      <c r="AY9" s="23">
        <f t="shared" si="7"/>
        <v>0</v>
      </c>
      <c r="AZ9" s="23">
        <f t="shared" si="7"/>
        <v>0</v>
      </c>
    </row>
    <row r="10" spans="1:52" ht="15">
      <c r="A10" s="118" t="s">
        <v>220</v>
      </c>
      <c r="B10" s="24"/>
      <c r="C10" s="25" t="s">
        <v>9</v>
      </c>
      <c r="D10" s="25" t="s">
        <v>71</v>
      </c>
      <c r="E10" s="266">
        <f>'Green+Social Interface'!$J$22*'Green+Social Interface'!$I$22</f>
        <v>0</v>
      </c>
      <c r="F10" s="319">
        <f>$I$84</f>
        <v>14.481454056144837</v>
      </c>
      <c r="G10" s="329">
        <f>F10*VLOOKUP('Green+Social Interface'!$I$38,'Look-ups'!$A$15:$B$43,2,0)</f>
        <v>15.350341299513529</v>
      </c>
      <c r="H10" s="21">
        <f>'Green+Social Interface'!$O$6</f>
        <v>0.07</v>
      </c>
      <c r="J10" s="168">
        <f t="shared" si="0"/>
        <v>0</v>
      </c>
      <c r="K10" s="32">
        <f t="shared" si="2"/>
        <v>0</v>
      </c>
      <c r="L10" s="151">
        <f t="shared" si="3"/>
        <v>0</v>
      </c>
      <c r="M10" s="23">
        <f t="shared" si="4"/>
        <v>0</v>
      </c>
      <c r="N10" s="23">
        <f aca="true" t="shared" si="8" ref="N10:AZ10">M10*(1+$C$70)</f>
        <v>0</v>
      </c>
      <c r="O10" s="23">
        <f t="shared" si="8"/>
        <v>0</v>
      </c>
      <c r="P10" s="23">
        <f t="shared" si="8"/>
        <v>0</v>
      </c>
      <c r="Q10" s="23">
        <f t="shared" si="8"/>
        <v>0</v>
      </c>
      <c r="R10" s="23">
        <f t="shared" si="8"/>
        <v>0</v>
      </c>
      <c r="S10" s="23">
        <f t="shared" si="8"/>
        <v>0</v>
      </c>
      <c r="T10" s="23">
        <f t="shared" si="8"/>
        <v>0</v>
      </c>
      <c r="U10" s="23">
        <f t="shared" si="8"/>
        <v>0</v>
      </c>
      <c r="V10" s="23">
        <f t="shared" si="8"/>
        <v>0</v>
      </c>
      <c r="W10" s="23">
        <f t="shared" si="8"/>
        <v>0</v>
      </c>
      <c r="X10" s="23">
        <f t="shared" si="8"/>
        <v>0</v>
      </c>
      <c r="Y10" s="23">
        <f t="shared" si="8"/>
        <v>0</v>
      </c>
      <c r="Z10" s="23">
        <f t="shared" si="8"/>
        <v>0</v>
      </c>
      <c r="AA10" s="23">
        <f t="shared" si="8"/>
        <v>0</v>
      </c>
      <c r="AB10" s="23">
        <f t="shared" si="8"/>
        <v>0</v>
      </c>
      <c r="AC10" s="23">
        <f t="shared" si="8"/>
        <v>0</v>
      </c>
      <c r="AD10" s="23">
        <f t="shared" si="8"/>
        <v>0</v>
      </c>
      <c r="AE10" s="23">
        <f t="shared" si="8"/>
        <v>0</v>
      </c>
      <c r="AF10" s="23">
        <f t="shared" si="8"/>
        <v>0</v>
      </c>
      <c r="AG10" s="23">
        <f t="shared" si="8"/>
        <v>0</v>
      </c>
      <c r="AH10" s="23">
        <f t="shared" si="8"/>
        <v>0</v>
      </c>
      <c r="AI10" s="23">
        <f t="shared" si="8"/>
        <v>0</v>
      </c>
      <c r="AJ10" s="23">
        <f t="shared" si="8"/>
        <v>0</v>
      </c>
      <c r="AK10" s="23">
        <f t="shared" si="8"/>
        <v>0</v>
      </c>
      <c r="AL10" s="23">
        <f t="shared" si="8"/>
        <v>0</v>
      </c>
      <c r="AM10" s="23">
        <f t="shared" si="8"/>
        <v>0</v>
      </c>
      <c r="AN10" s="23">
        <f t="shared" si="8"/>
        <v>0</v>
      </c>
      <c r="AO10" s="23">
        <f t="shared" si="8"/>
        <v>0</v>
      </c>
      <c r="AP10" s="23">
        <f t="shared" si="8"/>
        <v>0</v>
      </c>
      <c r="AQ10" s="23">
        <f t="shared" si="8"/>
        <v>0</v>
      </c>
      <c r="AR10" s="23">
        <f t="shared" si="8"/>
        <v>0</v>
      </c>
      <c r="AS10" s="23">
        <f t="shared" si="8"/>
        <v>0</v>
      </c>
      <c r="AT10" s="23">
        <f t="shared" si="8"/>
        <v>0</v>
      </c>
      <c r="AU10" s="23">
        <f t="shared" si="8"/>
        <v>0</v>
      </c>
      <c r="AV10" s="23">
        <f t="shared" si="8"/>
        <v>0</v>
      </c>
      <c r="AW10" s="23">
        <f t="shared" si="8"/>
        <v>0</v>
      </c>
      <c r="AX10" s="23">
        <f t="shared" si="8"/>
        <v>0</v>
      </c>
      <c r="AY10" s="23">
        <f t="shared" si="8"/>
        <v>0</v>
      </c>
      <c r="AZ10" s="23">
        <f t="shared" si="8"/>
        <v>0</v>
      </c>
    </row>
    <row r="11" spans="1:52" ht="15">
      <c r="A11" s="118" t="s">
        <v>220</v>
      </c>
      <c r="B11" s="24" t="s">
        <v>136</v>
      </c>
      <c r="C11" s="25" t="s">
        <v>6</v>
      </c>
      <c r="D11" s="25" t="s">
        <v>71</v>
      </c>
      <c r="E11" s="267">
        <f>'Green+Social Interface'!$D$18*'Green+Social Interface'!$E$18</f>
        <v>0</v>
      </c>
      <c r="F11" s="317">
        <f>$I$79</f>
        <v>14.481454056144837</v>
      </c>
      <c r="G11" s="329">
        <f>F11*VLOOKUP('Green+Social Interface'!$I$38,'Look-ups'!$A$15:$B$43,2,0)</f>
        <v>15.350341299513529</v>
      </c>
      <c r="H11" s="21">
        <f>'Green+Social Interface'!$O$6</f>
        <v>0.07</v>
      </c>
      <c r="I11" s="22"/>
      <c r="J11" s="168">
        <f t="shared" si="0"/>
        <v>0</v>
      </c>
      <c r="K11" s="32">
        <f t="shared" si="2"/>
        <v>0</v>
      </c>
      <c r="L11" s="151">
        <f t="shared" si="3"/>
        <v>0</v>
      </c>
      <c r="M11" s="23">
        <f t="shared" si="4"/>
        <v>0</v>
      </c>
      <c r="N11" s="23">
        <f aca="true" t="shared" si="9" ref="N11:AZ11">M11*(1+$C$70)</f>
        <v>0</v>
      </c>
      <c r="O11" s="23">
        <f t="shared" si="9"/>
        <v>0</v>
      </c>
      <c r="P11" s="23">
        <f t="shared" si="9"/>
        <v>0</v>
      </c>
      <c r="Q11" s="23">
        <f t="shared" si="9"/>
        <v>0</v>
      </c>
      <c r="R11" s="23">
        <f t="shared" si="9"/>
        <v>0</v>
      </c>
      <c r="S11" s="23">
        <f t="shared" si="9"/>
        <v>0</v>
      </c>
      <c r="T11" s="23">
        <f t="shared" si="9"/>
        <v>0</v>
      </c>
      <c r="U11" s="23">
        <f t="shared" si="9"/>
        <v>0</v>
      </c>
      <c r="V11" s="23">
        <f t="shared" si="9"/>
        <v>0</v>
      </c>
      <c r="W11" s="23">
        <f t="shared" si="9"/>
        <v>0</v>
      </c>
      <c r="X11" s="23">
        <f t="shared" si="9"/>
        <v>0</v>
      </c>
      <c r="Y11" s="23">
        <f t="shared" si="9"/>
        <v>0</v>
      </c>
      <c r="Z11" s="23">
        <f t="shared" si="9"/>
        <v>0</v>
      </c>
      <c r="AA11" s="23">
        <f t="shared" si="9"/>
        <v>0</v>
      </c>
      <c r="AB11" s="23">
        <f t="shared" si="9"/>
        <v>0</v>
      </c>
      <c r="AC11" s="23">
        <f t="shared" si="9"/>
        <v>0</v>
      </c>
      <c r="AD11" s="23">
        <f t="shared" si="9"/>
        <v>0</v>
      </c>
      <c r="AE11" s="23">
        <f t="shared" si="9"/>
        <v>0</v>
      </c>
      <c r="AF11" s="23">
        <f t="shared" si="9"/>
        <v>0</v>
      </c>
      <c r="AG11" s="23">
        <f t="shared" si="9"/>
        <v>0</v>
      </c>
      <c r="AH11" s="23">
        <f t="shared" si="9"/>
        <v>0</v>
      </c>
      <c r="AI11" s="23">
        <f t="shared" si="9"/>
        <v>0</v>
      </c>
      <c r="AJ11" s="23">
        <f t="shared" si="9"/>
        <v>0</v>
      </c>
      <c r="AK11" s="23">
        <f t="shared" si="9"/>
        <v>0</v>
      </c>
      <c r="AL11" s="23">
        <f t="shared" si="9"/>
        <v>0</v>
      </c>
      <c r="AM11" s="23">
        <f t="shared" si="9"/>
        <v>0</v>
      </c>
      <c r="AN11" s="23">
        <f t="shared" si="9"/>
        <v>0</v>
      </c>
      <c r="AO11" s="23">
        <f t="shared" si="9"/>
        <v>0</v>
      </c>
      <c r="AP11" s="23">
        <f t="shared" si="9"/>
        <v>0</v>
      </c>
      <c r="AQ11" s="23">
        <f t="shared" si="9"/>
        <v>0</v>
      </c>
      <c r="AR11" s="23">
        <f t="shared" si="9"/>
        <v>0</v>
      </c>
      <c r="AS11" s="23">
        <f t="shared" si="9"/>
        <v>0</v>
      </c>
      <c r="AT11" s="23">
        <f t="shared" si="9"/>
        <v>0</v>
      </c>
      <c r="AU11" s="23">
        <f t="shared" si="9"/>
        <v>0</v>
      </c>
      <c r="AV11" s="23">
        <f t="shared" si="9"/>
        <v>0</v>
      </c>
      <c r="AW11" s="23">
        <f t="shared" si="9"/>
        <v>0</v>
      </c>
      <c r="AX11" s="23">
        <f t="shared" si="9"/>
        <v>0</v>
      </c>
      <c r="AY11" s="23">
        <f t="shared" si="9"/>
        <v>0</v>
      </c>
      <c r="AZ11" s="23">
        <f t="shared" si="9"/>
        <v>0</v>
      </c>
    </row>
    <row r="12" spans="1:52" ht="15">
      <c r="A12" s="118" t="s">
        <v>220</v>
      </c>
      <c r="B12" s="24"/>
      <c r="C12" s="25" t="s">
        <v>7</v>
      </c>
      <c r="D12" s="25" t="s">
        <v>71</v>
      </c>
      <c r="E12" s="267">
        <f>'Green+Social Interface'!$D$19*'Green+Social Interface'!$E$19</f>
        <v>0</v>
      </c>
      <c r="F12" s="317">
        <f>$I$79</f>
        <v>14.481454056144837</v>
      </c>
      <c r="G12" s="329">
        <f>F12*VLOOKUP('Green+Social Interface'!$I$38,'Look-ups'!$A$15:$B$43,2,0)</f>
        <v>15.350341299513529</v>
      </c>
      <c r="H12" s="21">
        <f>'Green+Social Interface'!$O$6</f>
        <v>0.07</v>
      </c>
      <c r="I12" s="22"/>
      <c r="J12" s="168">
        <f t="shared" si="0"/>
        <v>0</v>
      </c>
      <c r="K12" s="32">
        <f t="shared" si="2"/>
        <v>0</v>
      </c>
      <c r="L12" s="151">
        <f t="shared" si="3"/>
        <v>0</v>
      </c>
      <c r="M12" s="23">
        <f t="shared" si="4"/>
        <v>0</v>
      </c>
      <c r="N12" s="23">
        <f aca="true" t="shared" si="10" ref="N12:AZ12">M12*(1+$C$70)</f>
        <v>0</v>
      </c>
      <c r="O12" s="23">
        <f t="shared" si="10"/>
        <v>0</v>
      </c>
      <c r="P12" s="23">
        <f t="shared" si="10"/>
        <v>0</v>
      </c>
      <c r="Q12" s="23">
        <f t="shared" si="10"/>
        <v>0</v>
      </c>
      <c r="R12" s="23">
        <f t="shared" si="10"/>
        <v>0</v>
      </c>
      <c r="S12" s="23">
        <f t="shared" si="10"/>
        <v>0</v>
      </c>
      <c r="T12" s="23">
        <f t="shared" si="10"/>
        <v>0</v>
      </c>
      <c r="U12" s="23">
        <f t="shared" si="10"/>
        <v>0</v>
      </c>
      <c r="V12" s="23">
        <f t="shared" si="10"/>
        <v>0</v>
      </c>
      <c r="W12" s="23">
        <f t="shared" si="10"/>
        <v>0</v>
      </c>
      <c r="X12" s="23">
        <f t="shared" si="10"/>
        <v>0</v>
      </c>
      <c r="Y12" s="23">
        <f t="shared" si="10"/>
        <v>0</v>
      </c>
      <c r="Z12" s="23">
        <f t="shared" si="10"/>
        <v>0</v>
      </c>
      <c r="AA12" s="23">
        <f t="shared" si="10"/>
        <v>0</v>
      </c>
      <c r="AB12" s="23">
        <f t="shared" si="10"/>
        <v>0</v>
      </c>
      <c r="AC12" s="23">
        <f t="shared" si="10"/>
        <v>0</v>
      </c>
      <c r="AD12" s="23">
        <f t="shared" si="10"/>
        <v>0</v>
      </c>
      <c r="AE12" s="23">
        <f t="shared" si="10"/>
        <v>0</v>
      </c>
      <c r="AF12" s="23">
        <f t="shared" si="10"/>
        <v>0</v>
      </c>
      <c r="AG12" s="23">
        <f t="shared" si="10"/>
        <v>0</v>
      </c>
      <c r="AH12" s="23">
        <f t="shared" si="10"/>
        <v>0</v>
      </c>
      <c r="AI12" s="23">
        <f t="shared" si="10"/>
        <v>0</v>
      </c>
      <c r="AJ12" s="23">
        <f t="shared" si="10"/>
        <v>0</v>
      </c>
      <c r="AK12" s="23">
        <f t="shared" si="10"/>
        <v>0</v>
      </c>
      <c r="AL12" s="23">
        <f t="shared" si="10"/>
        <v>0</v>
      </c>
      <c r="AM12" s="23">
        <f t="shared" si="10"/>
        <v>0</v>
      </c>
      <c r="AN12" s="23">
        <f t="shared" si="10"/>
        <v>0</v>
      </c>
      <c r="AO12" s="23">
        <f t="shared" si="10"/>
        <v>0</v>
      </c>
      <c r="AP12" s="23">
        <f t="shared" si="10"/>
        <v>0</v>
      </c>
      <c r="AQ12" s="23">
        <f t="shared" si="10"/>
        <v>0</v>
      </c>
      <c r="AR12" s="23">
        <f t="shared" si="10"/>
        <v>0</v>
      </c>
      <c r="AS12" s="23">
        <f t="shared" si="10"/>
        <v>0</v>
      </c>
      <c r="AT12" s="23">
        <f t="shared" si="10"/>
        <v>0</v>
      </c>
      <c r="AU12" s="23">
        <f t="shared" si="10"/>
        <v>0</v>
      </c>
      <c r="AV12" s="23">
        <f t="shared" si="10"/>
        <v>0</v>
      </c>
      <c r="AW12" s="23">
        <f t="shared" si="10"/>
        <v>0</v>
      </c>
      <c r="AX12" s="23">
        <f t="shared" si="10"/>
        <v>0</v>
      </c>
      <c r="AY12" s="23">
        <f t="shared" si="10"/>
        <v>0</v>
      </c>
      <c r="AZ12" s="23">
        <f t="shared" si="10"/>
        <v>0</v>
      </c>
    </row>
    <row r="13" spans="1:52" ht="15">
      <c r="A13" s="118" t="s">
        <v>220</v>
      </c>
      <c r="B13" s="24"/>
      <c r="C13" s="25" t="s">
        <v>8</v>
      </c>
      <c r="D13" s="25" t="s">
        <v>71</v>
      </c>
      <c r="E13" s="267">
        <f>'Green+Social Interface'!$D$20*'Green+Social Interface'!$E$20</f>
        <v>0</v>
      </c>
      <c r="F13" s="317">
        <f>$I$79</f>
        <v>14.481454056144837</v>
      </c>
      <c r="G13" s="329">
        <f>F13*VLOOKUP('Green+Social Interface'!$I$38,'Look-ups'!$A$15:$B$43,2,0)</f>
        <v>15.350341299513529</v>
      </c>
      <c r="H13" s="21">
        <f>'Green+Social Interface'!$O$6</f>
        <v>0.07</v>
      </c>
      <c r="I13" s="22"/>
      <c r="J13" s="168">
        <f t="shared" si="0"/>
        <v>0</v>
      </c>
      <c r="K13" s="32">
        <f t="shared" si="2"/>
        <v>0</v>
      </c>
      <c r="L13" s="151">
        <f t="shared" si="3"/>
        <v>0</v>
      </c>
      <c r="M13" s="23">
        <f t="shared" si="4"/>
        <v>0</v>
      </c>
      <c r="N13" s="23">
        <f aca="true" t="shared" si="11" ref="N13:AZ13">M13*(1+$C$70)</f>
        <v>0</v>
      </c>
      <c r="O13" s="23">
        <f t="shared" si="11"/>
        <v>0</v>
      </c>
      <c r="P13" s="23">
        <f t="shared" si="11"/>
        <v>0</v>
      </c>
      <c r="Q13" s="23">
        <f t="shared" si="11"/>
        <v>0</v>
      </c>
      <c r="R13" s="23">
        <f t="shared" si="11"/>
        <v>0</v>
      </c>
      <c r="S13" s="23">
        <f t="shared" si="11"/>
        <v>0</v>
      </c>
      <c r="T13" s="23">
        <f t="shared" si="11"/>
        <v>0</v>
      </c>
      <c r="U13" s="23">
        <f t="shared" si="11"/>
        <v>0</v>
      </c>
      <c r="V13" s="23">
        <f t="shared" si="11"/>
        <v>0</v>
      </c>
      <c r="W13" s="23">
        <f t="shared" si="11"/>
        <v>0</v>
      </c>
      <c r="X13" s="23">
        <f t="shared" si="11"/>
        <v>0</v>
      </c>
      <c r="Y13" s="23">
        <f t="shared" si="11"/>
        <v>0</v>
      </c>
      <c r="Z13" s="23">
        <f t="shared" si="11"/>
        <v>0</v>
      </c>
      <c r="AA13" s="23">
        <f t="shared" si="11"/>
        <v>0</v>
      </c>
      <c r="AB13" s="23">
        <f t="shared" si="11"/>
        <v>0</v>
      </c>
      <c r="AC13" s="23">
        <f t="shared" si="11"/>
        <v>0</v>
      </c>
      <c r="AD13" s="23">
        <f t="shared" si="11"/>
        <v>0</v>
      </c>
      <c r="AE13" s="23">
        <f t="shared" si="11"/>
        <v>0</v>
      </c>
      <c r="AF13" s="23">
        <f t="shared" si="11"/>
        <v>0</v>
      </c>
      <c r="AG13" s="23">
        <f t="shared" si="11"/>
        <v>0</v>
      </c>
      <c r="AH13" s="23">
        <f t="shared" si="11"/>
        <v>0</v>
      </c>
      <c r="AI13" s="23">
        <f t="shared" si="11"/>
        <v>0</v>
      </c>
      <c r="AJ13" s="23">
        <f t="shared" si="11"/>
        <v>0</v>
      </c>
      <c r="AK13" s="23">
        <f t="shared" si="11"/>
        <v>0</v>
      </c>
      <c r="AL13" s="23">
        <f t="shared" si="11"/>
        <v>0</v>
      </c>
      <c r="AM13" s="23">
        <f t="shared" si="11"/>
        <v>0</v>
      </c>
      <c r="AN13" s="23">
        <f t="shared" si="11"/>
        <v>0</v>
      </c>
      <c r="AO13" s="23">
        <f t="shared" si="11"/>
        <v>0</v>
      </c>
      <c r="AP13" s="23">
        <f t="shared" si="11"/>
        <v>0</v>
      </c>
      <c r="AQ13" s="23">
        <f t="shared" si="11"/>
        <v>0</v>
      </c>
      <c r="AR13" s="23">
        <f t="shared" si="11"/>
        <v>0</v>
      </c>
      <c r="AS13" s="23">
        <f t="shared" si="11"/>
        <v>0</v>
      </c>
      <c r="AT13" s="23">
        <f t="shared" si="11"/>
        <v>0</v>
      </c>
      <c r="AU13" s="23">
        <f t="shared" si="11"/>
        <v>0</v>
      </c>
      <c r="AV13" s="23">
        <f t="shared" si="11"/>
        <v>0</v>
      </c>
      <c r="AW13" s="23">
        <f t="shared" si="11"/>
        <v>0</v>
      </c>
      <c r="AX13" s="23">
        <f t="shared" si="11"/>
        <v>0</v>
      </c>
      <c r="AY13" s="23">
        <f t="shared" si="11"/>
        <v>0</v>
      </c>
      <c r="AZ13" s="23">
        <f t="shared" si="11"/>
        <v>0</v>
      </c>
    </row>
    <row r="14" spans="1:52" ht="15">
      <c r="A14" s="118" t="s">
        <v>220</v>
      </c>
      <c r="B14" s="24"/>
      <c r="C14" s="25" t="s">
        <v>9</v>
      </c>
      <c r="D14" s="25" t="s">
        <v>71</v>
      </c>
      <c r="E14" s="267">
        <f>'Green+Social Interface'!$D$21*'Green+Social Interface'!$E$21</f>
        <v>0</v>
      </c>
      <c r="F14" s="317">
        <f>$I$79</f>
        <v>14.481454056144837</v>
      </c>
      <c r="G14" s="329">
        <f>F14*VLOOKUP('Green+Social Interface'!$I$38,'Look-ups'!$A$15:$B$43,2,0)</f>
        <v>15.350341299513529</v>
      </c>
      <c r="H14" s="21">
        <f>'Green+Social Interface'!$O$6</f>
        <v>0.07</v>
      </c>
      <c r="I14" s="22"/>
      <c r="J14" s="168">
        <f t="shared" si="0"/>
        <v>0</v>
      </c>
      <c r="K14" s="32">
        <f t="shared" si="2"/>
        <v>0</v>
      </c>
      <c r="L14" s="151">
        <f t="shared" si="3"/>
        <v>0</v>
      </c>
      <c r="M14" s="23">
        <f t="shared" si="4"/>
        <v>0</v>
      </c>
      <c r="N14" s="23">
        <f aca="true" t="shared" si="12" ref="N14:AZ14">M14*(1+$C$70)</f>
        <v>0</v>
      </c>
      <c r="O14" s="23">
        <f t="shared" si="12"/>
        <v>0</v>
      </c>
      <c r="P14" s="23">
        <f t="shared" si="12"/>
        <v>0</v>
      </c>
      <c r="Q14" s="23">
        <f t="shared" si="12"/>
        <v>0</v>
      </c>
      <c r="R14" s="23">
        <f t="shared" si="12"/>
        <v>0</v>
      </c>
      <c r="S14" s="23">
        <f t="shared" si="12"/>
        <v>0</v>
      </c>
      <c r="T14" s="23">
        <f t="shared" si="12"/>
        <v>0</v>
      </c>
      <c r="U14" s="23">
        <f t="shared" si="12"/>
        <v>0</v>
      </c>
      <c r="V14" s="23">
        <f t="shared" si="12"/>
        <v>0</v>
      </c>
      <c r="W14" s="23">
        <f t="shared" si="12"/>
        <v>0</v>
      </c>
      <c r="X14" s="23">
        <f t="shared" si="12"/>
        <v>0</v>
      </c>
      <c r="Y14" s="23">
        <f t="shared" si="12"/>
        <v>0</v>
      </c>
      <c r="Z14" s="23">
        <f t="shared" si="12"/>
        <v>0</v>
      </c>
      <c r="AA14" s="23">
        <f t="shared" si="12"/>
        <v>0</v>
      </c>
      <c r="AB14" s="23">
        <f t="shared" si="12"/>
        <v>0</v>
      </c>
      <c r="AC14" s="23">
        <f t="shared" si="12"/>
        <v>0</v>
      </c>
      <c r="AD14" s="23">
        <f t="shared" si="12"/>
        <v>0</v>
      </c>
      <c r="AE14" s="23">
        <f t="shared" si="12"/>
        <v>0</v>
      </c>
      <c r="AF14" s="23">
        <f t="shared" si="12"/>
        <v>0</v>
      </c>
      <c r="AG14" s="23">
        <f t="shared" si="12"/>
        <v>0</v>
      </c>
      <c r="AH14" s="23">
        <f t="shared" si="12"/>
        <v>0</v>
      </c>
      <c r="AI14" s="23">
        <f t="shared" si="12"/>
        <v>0</v>
      </c>
      <c r="AJ14" s="23">
        <f t="shared" si="12"/>
        <v>0</v>
      </c>
      <c r="AK14" s="23">
        <f t="shared" si="12"/>
        <v>0</v>
      </c>
      <c r="AL14" s="23">
        <f t="shared" si="12"/>
        <v>0</v>
      </c>
      <c r="AM14" s="23">
        <f t="shared" si="12"/>
        <v>0</v>
      </c>
      <c r="AN14" s="23">
        <f t="shared" si="12"/>
        <v>0</v>
      </c>
      <c r="AO14" s="23">
        <f t="shared" si="12"/>
        <v>0</v>
      </c>
      <c r="AP14" s="23">
        <f t="shared" si="12"/>
        <v>0</v>
      </c>
      <c r="AQ14" s="23">
        <f t="shared" si="12"/>
        <v>0</v>
      </c>
      <c r="AR14" s="23">
        <f t="shared" si="12"/>
        <v>0</v>
      </c>
      <c r="AS14" s="23">
        <f t="shared" si="12"/>
        <v>0</v>
      </c>
      <c r="AT14" s="23">
        <f t="shared" si="12"/>
        <v>0</v>
      </c>
      <c r="AU14" s="23">
        <f t="shared" si="12"/>
        <v>0</v>
      </c>
      <c r="AV14" s="23">
        <f t="shared" si="12"/>
        <v>0</v>
      </c>
      <c r="AW14" s="23">
        <f t="shared" si="12"/>
        <v>0</v>
      </c>
      <c r="AX14" s="23">
        <f t="shared" si="12"/>
        <v>0</v>
      </c>
      <c r="AY14" s="23">
        <f t="shared" si="12"/>
        <v>0</v>
      </c>
      <c r="AZ14" s="23">
        <f t="shared" si="12"/>
        <v>0</v>
      </c>
    </row>
    <row r="15" spans="1:52" ht="15">
      <c r="A15" s="118" t="s">
        <v>220</v>
      </c>
      <c r="B15" s="24"/>
      <c r="C15" s="25" t="s">
        <v>11</v>
      </c>
      <c r="D15" s="25" t="s">
        <v>71</v>
      </c>
      <c r="E15" s="267">
        <f>'Green+Social Interface'!$D$22*'Green+Social Interface'!$E$22</f>
        <v>0</v>
      </c>
      <c r="F15" s="317">
        <f>$I$79</f>
        <v>14.481454056144837</v>
      </c>
      <c r="G15" s="329">
        <f>F15*VLOOKUP('Green+Social Interface'!$I$38,'Look-ups'!$A$15:$B$43,2,0)</f>
        <v>15.350341299513529</v>
      </c>
      <c r="H15" s="21">
        <f>'Green+Social Interface'!$O$6</f>
        <v>0.07</v>
      </c>
      <c r="I15" s="22"/>
      <c r="J15" s="168">
        <f t="shared" si="0"/>
        <v>0</v>
      </c>
      <c r="K15" s="32">
        <f t="shared" si="2"/>
        <v>0</v>
      </c>
      <c r="L15" s="151">
        <f t="shared" si="3"/>
        <v>0</v>
      </c>
      <c r="M15" s="23">
        <f t="shared" si="4"/>
        <v>0</v>
      </c>
      <c r="N15" s="23">
        <f aca="true" t="shared" si="13" ref="N15:AZ15">M15*(1+$C$70)</f>
        <v>0</v>
      </c>
      <c r="O15" s="23">
        <f t="shared" si="13"/>
        <v>0</v>
      </c>
      <c r="P15" s="23">
        <f t="shared" si="13"/>
        <v>0</v>
      </c>
      <c r="Q15" s="23">
        <f t="shared" si="13"/>
        <v>0</v>
      </c>
      <c r="R15" s="23">
        <f t="shared" si="13"/>
        <v>0</v>
      </c>
      <c r="S15" s="23">
        <f t="shared" si="13"/>
        <v>0</v>
      </c>
      <c r="T15" s="23">
        <f t="shared" si="13"/>
        <v>0</v>
      </c>
      <c r="U15" s="23">
        <f t="shared" si="13"/>
        <v>0</v>
      </c>
      <c r="V15" s="23">
        <f t="shared" si="13"/>
        <v>0</v>
      </c>
      <c r="W15" s="23">
        <f t="shared" si="13"/>
        <v>0</v>
      </c>
      <c r="X15" s="23">
        <f t="shared" si="13"/>
        <v>0</v>
      </c>
      <c r="Y15" s="23">
        <f t="shared" si="13"/>
        <v>0</v>
      </c>
      <c r="Z15" s="23">
        <f t="shared" si="13"/>
        <v>0</v>
      </c>
      <c r="AA15" s="23">
        <f t="shared" si="13"/>
        <v>0</v>
      </c>
      <c r="AB15" s="23">
        <f t="shared" si="13"/>
        <v>0</v>
      </c>
      <c r="AC15" s="23">
        <f t="shared" si="13"/>
        <v>0</v>
      </c>
      <c r="AD15" s="23">
        <f t="shared" si="13"/>
        <v>0</v>
      </c>
      <c r="AE15" s="23">
        <f t="shared" si="13"/>
        <v>0</v>
      </c>
      <c r="AF15" s="23">
        <f t="shared" si="13"/>
        <v>0</v>
      </c>
      <c r="AG15" s="23">
        <f t="shared" si="13"/>
        <v>0</v>
      </c>
      <c r="AH15" s="23">
        <f t="shared" si="13"/>
        <v>0</v>
      </c>
      <c r="AI15" s="23">
        <f t="shared" si="13"/>
        <v>0</v>
      </c>
      <c r="AJ15" s="23">
        <f t="shared" si="13"/>
        <v>0</v>
      </c>
      <c r="AK15" s="23">
        <f t="shared" si="13"/>
        <v>0</v>
      </c>
      <c r="AL15" s="23">
        <f t="shared" si="13"/>
        <v>0</v>
      </c>
      <c r="AM15" s="23">
        <f t="shared" si="13"/>
        <v>0</v>
      </c>
      <c r="AN15" s="23">
        <f t="shared" si="13"/>
        <v>0</v>
      </c>
      <c r="AO15" s="23">
        <f t="shared" si="13"/>
        <v>0</v>
      </c>
      <c r="AP15" s="23">
        <f t="shared" si="13"/>
        <v>0</v>
      </c>
      <c r="AQ15" s="23">
        <f t="shared" si="13"/>
        <v>0</v>
      </c>
      <c r="AR15" s="23">
        <f t="shared" si="13"/>
        <v>0</v>
      </c>
      <c r="AS15" s="23">
        <f t="shared" si="13"/>
        <v>0</v>
      </c>
      <c r="AT15" s="23">
        <f t="shared" si="13"/>
        <v>0</v>
      </c>
      <c r="AU15" s="23">
        <f t="shared" si="13"/>
        <v>0</v>
      </c>
      <c r="AV15" s="23">
        <f t="shared" si="13"/>
        <v>0</v>
      </c>
      <c r="AW15" s="23">
        <f t="shared" si="13"/>
        <v>0</v>
      </c>
      <c r="AX15" s="23">
        <f t="shared" si="13"/>
        <v>0</v>
      </c>
      <c r="AY15" s="23">
        <f t="shared" si="13"/>
        <v>0</v>
      </c>
      <c r="AZ15" s="23">
        <f t="shared" si="13"/>
        <v>0</v>
      </c>
    </row>
    <row r="16" spans="1:52" ht="15">
      <c r="A16" s="118" t="s">
        <v>503</v>
      </c>
      <c r="B16" s="24" t="s">
        <v>5</v>
      </c>
      <c r="C16" s="29" t="s">
        <v>10</v>
      </c>
      <c r="D16" s="25" t="s">
        <v>71</v>
      </c>
      <c r="E16" s="267">
        <f>'Green+Social Interface'!$T$18*'Green+Social Interface'!$U$18</f>
        <v>0</v>
      </c>
      <c r="F16" s="317">
        <f>$I$94</f>
        <v>14.481454056144837</v>
      </c>
      <c r="G16" s="329">
        <f>F16*VLOOKUP('Green+Social Interface'!$I$38,'Look-ups'!$A$15:$B$43,2,0)</f>
        <v>15.350341299513529</v>
      </c>
      <c r="H16" s="21">
        <f>'Green+Social Interface'!$O$6</f>
        <v>0.07</v>
      </c>
      <c r="I16" s="22"/>
      <c r="J16" s="168">
        <f t="shared" si="0"/>
        <v>0</v>
      </c>
      <c r="K16" s="32">
        <f t="shared" si="2"/>
        <v>0</v>
      </c>
      <c r="L16" s="151">
        <f t="shared" si="3"/>
        <v>0</v>
      </c>
      <c r="M16" s="23">
        <f t="shared" si="4"/>
        <v>0</v>
      </c>
      <c r="N16" s="23">
        <f aca="true" t="shared" si="14" ref="N16:AZ16">M16*(1+$C$70)</f>
        <v>0</v>
      </c>
      <c r="O16" s="23">
        <f t="shared" si="14"/>
        <v>0</v>
      </c>
      <c r="P16" s="23">
        <f t="shared" si="14"/>
        <v>0</v>
      </c>
      <c r="Q16" s="23">
        <f t="shared" si="14"/>
        <v>0</v>
      </c>
      <c r="R16" s="23">
        <f t="shared" si="14"/>
        <v>0</v>
      </c>
      <c r="S16" s="23">
        <f t="shared" si="14"/>
        <v>0</v>
      </c>
      <c r="T16" s="23">
        <f t="shared" si="14"/>
        <v>0</v>
      </c>
      <c r="U16" s="23">
        <f t="shared" si="14"/>
        <v>0</v>
      </c>
      <c r="V16" s="23">
        <f t="shared" si="14"/>
        <v>0</v>
      </c>
      <c r="W16" s="23">
        <f t="shared" si="14"/>
        <v>0</v>
      </c>
      <c r="X16" s="23">
        <f t="shared" si="14"/>
        <v>0</v>
      </c>
      <c r="Y16" s="23">
        <f t="shared" si="14"/>
        <v>0</v>
      </c>
      <c r="Z16" s="23">
        <f t="shared" si="14"/>
        <v>0</v>
      </c>
      <c r="AA16" s="23">
        <f t="shared" si="14"/>
        <v>0</v>
      </c>
      <c r="AB16" s="23">
        <f t="shared" si="14"/>
        <v>0</v>
      </c>
      <c r="AC16" s="23">
        <f t="shared" si="14"/>
        <v>0</v>
      </c>
      <c r="AD16" s="23">
        <f t="shared" si="14"/>
        <v>0</v>
      </c>
      <c r="AE16" s="23">
        <f t="shared" si="14"/>
        <v>0</v>
      </c>
      <c r="AF16" s="23">
        <f t="shared" si="14"/>
        <v>0</v>
      </c>
      <c r="AG16" s="23">
        <f t="shared" si="14"/>
        <v>0</v>
      </c>
      <c r="AH16" s="23">
        <f t="shared" si="14"/>
        <v>0</v>
      </c>
      <c r="AI16" s="23">
        <f t="shared" si="14"/>
        <v>0</v>
      </c>
      <c r="AJ16" s="23">
        <f t="shared" si="14"/>
        <v>0</v>
      </c>
      <c r="AK16" s="23">
        <f t="shared" si="14"/>
        <v>0</v>
      </c>
      <c r="AL16" s="23">
        <f t="shared" si="14"/>
        <v>0</v>
      </c>
      <c r="AM16" s="23">
        <f t="shared" si="14"/>
        <v>0</v>
      </c>
      <c r="AN16" s="23">
        <f t="shared" si="14"/>
        <v>0</v>
      </c>
      <c r="AO16" s="23">
        <f t="shared" si="14"/>
        <v>0</v>
      </c>
      <c r="AP16" s="23">
        <f t="shared" si="14"/>
        <v>0</v>
      </c>
      <c r="AQ16" s="23">
        <f t="shared" si="14"/>
        <v>0</v>
      </c>
      <c r="AR16" s="23">
        <f t="shared" si="14"/>
        <v>0</v>
      </c>
      <c r="AS16" s="23">
        <f t="shared" si="14"/>
        <v>0</v>
      </c>
      <c r="AT16" s="23">
        <f t="shared" si="14"/>
        <v>0</v>
      </c>
      <c r="AU16" s="23">
        <f t="shared" si="14"/>
        <v>0</v>
      </c>
      <c r="AV16" s="23">
        <f t="shared" si="14"/>
        <v>0</v>
      </c>
      <c r="AW16" s="23">
        <f t="shared" si="14"/>
        <v>0</v>
      </c>
      <c r="AX16" s="23">
        <f t="shared" si="14"/>
        <v>0</v>
      </c>
      <c r="AY16" s="23">
        <f t="shared" si="14"/>
        <v>0</v>
      </c>
      <c r="AZ16" s="23">
        <f t="shared" si="14"/>
        <v>0</v>
      </c>
    </row>
    <row r="17" spans="1:52" ht="15">
      <c r="A17" s="118" t="s">
        <v>503</v>
      </c>
      <c r="B17" s="24"/>
      <c r="C17" s="25" t="s">
        <v>6</v>
      </c>
      <c r="D17" s="25" t="s">
        <v>71</v>
      </c>
      <c r="E17" s="267">
        <f>'Green+Social Interface'!$T$19*'Green+Social Interface'!$U$19</f>
        <v>0</v>
      </c>
      <c r="F17" s="317">
        <f>$I$94</f>
        <v>14.481454056144837</v>
      </c>
      <c r="G17" s="329">
        <f>F17*VLOOKUP('Green+Social Interface'!$I$38,'Look-ups'!$A$15:$B$43,2,0)</f>
        <v>15.350341299513529</v>
      </c>
      <c r="H17" s="21">
        <f>'Green+Social Interface'!$O$6</f>
        <v>0.07</v>
      </c>
      <c r="I17" s="22"/>
      <c r="J17" s="168">
        <f t="shared" si="0"/>
        <v>0</v>
      </c>
      <c r="K17" s="32">
        <f t="shared" si="2"/>
        <v>0</v>
      </c>
      <c r="L17" s="151">
        <f t="shared" si="3"/>
        <v>0</v>
      </c>
      <c r="M17" s="23">
        <f t="shared" si="4"/>
        <v>0</v>
      </c>
      <c r="N17" s="23">
        <f aca="true" t="shared" si="15" ref="N17:AZ17">M17*(1+$C$70)</f>
        <v>0</v>
      </c>
      <c r="O17" s="23">
        <f t="shared" si="15"/>
        <v>0</v>
      </c>
      <c r="P17" s="23">
        <f t="shared" si="15"/>
        <v>0</v>
      </c>
      <c r="Q17" s="23">
        <f t="shared" si="15"/>
        <v>0</v>
      </c>
      <c r="R17" s="23">
        <f t="shared" si="15"/>
        <v>0</v>
      </c>
      <c r="S17" s="23">
        <f t="shared" si="15"/>
        <v>0</v>
      </c>
      <c r="T17" s="23">
        <f t="shared" si="15"/>
        <v>0</v>
      </c>
      <c r="U17" s="23">
        <f t="shared" si="15"/>
        <v>0</v>
      </c>
      <c r="V17" s="23">
        <f t="shared" si="15"/>
        <v>0</v>
      </c>
      <c r="W17" s="23">
        <f t="shared" si="15"/>
        <v>0</v>
      </c>
      <c r="X17" s="23">
        <f t="shared" si="15"/>
        <v>0</v>
      </c>
      <c r="Y17" s="23">
        <f t="shared" si="15"/>
        <v>0</v>
      </c>
      <c r="Z17" s="23">
        <f t="shared" si="15"/>
        <v>0</v>
      </c>
      <c r="AA17" s="23">
        <f t="shared" si="15"/>
        <v>0</v>
      </c>
      <c r="AB17" s="23">
        <f t="shared" si="15"/>
        <v>0</v>
      </c>
      <c r="AC17" s="23">
        <f t="shared" si="15"/>
        <v>0</v>
      </c>
      <c r="AD17" s="23">
        <f t="shared" si="15"/>
        <v>0</v>
      </c>
      <c r="AE17" s="23">
        <f t="shared" si="15"/>
        <v>0</v>
      </c>
      <c r="AF17" s="23">
        <f t="shared" si="15"/>
        <v>0</v>
      </c>
      <c r="AG17" s="23">
        <f t="shared" si="15"/>
        <v>0</v>
      </c>
      <c r="AH17" s="23">
        <f t="shared" si="15"/>
        <v>0</v>
      </c>
      <c r="AI17" s="23">
        <f t="shared" si="15"/>
        <v>0</v>
      </c>
      <c r="AJ17" s="23">
        <f t="shared" si="15"/>
        <v>0</v>
      </c>
      <c r="AK17" s="23">
        <f t="shared" si="15"/>
        <v>0</v>
      </c>
      <c r="AL17" s="23">
        <f t="shared" si="15"/>
        <v>0</v>
      </c>
      <c r="AM17" s="23">
        <f t="shared" si="15"/>
        <v>0</v>
      </c>
      <c r="AN17" s="23">
        <f t="shared" si="15"/>
        <v>0</v>
      </c>
      <c r="AO17" s="23">
        <f t="shared" si="15"/>
        <v>0</v>
      </c>
      <c r="AP17" s="23">
        <f t="shared" si="15"/>
        <v>0</v>
      </c>
      <c r="AQ17" s="23">
        <f t="shared" si="15"/>
        <v>0</v>
      </c>
      <c r="AR17" s="23">
        <f t="shared" si="15"/>
        <v>0</v>
      </c>
      <c r="AS17" s="23">
        <f t="shared" si="15"/>
        <v>0</v>
      </c>
      <c r="AT17" s="23">
        <f t="shared" si="15"/>
        <v>0</v>
      </c>
      <c r="AU17" s="23">
        <f t="shared" si="15"/>
        <v>0</v>
      </c>
      <c r="AV17" s="23">
        <f t="shared" si="15"/>
        <v>0</v>
      </c>
      <c r="AW17" s="23">
        <f t="shared" si="15"/>
        <v>0</v>
      </c>
      <c r="AX17" s="23">
        <f t="shared" si="15"/>
        <v>0</v>
      </c>
      <c r="AY17" s="23">
        <f t="shared" si="15"/>
        <v>0</v>
      </c>
      <c r="AZ17" s="23">
        <f t="shared" si="15"/>
        <v>0</v>
      </c>
    </row>
    <row r="18" spans="1:52" ht="15">
      <c r="A18" s="118" t="s">
        <v>503</v>
      </c>
      <c r="B18" s="24"/>
      <c r="C18" s="25" t="s">
        <v>7</v>
      </c>
      <c r="D18" s="25" t="s">
        <v>71</v>
      </c>
      <c r="E18" s="267">
        <f>'Green+Social Interface'!$T$20*'Green+Social Interface'!$U$20</f>
        <v>0</v>
      </c>
      <c r="F18" s="317">
        <f>$I$94</f>
        <v>14.481454056144837</v>
      </c>
      <c r="G18" s="329">
        <f>F18*VLOOKUP('Green+Social Interface'!$I$38,'Look-ups'!$A$15:$B$43,2,0)</f>
        <v>15.350341299513529</v>
      </c>
      <c r="H18" s="21">
        <f>'Green+Social Interface'!$O$6</f>
        <v>0.07</v>
      </c>
      <c r="I18" s="22"/>
      <c r="J18" s="168">
        <f t="shared" si="0"/>
        <v>0</v>
      </c>
      <c r="K18" s="32">
        <f t="shared" si="2"/>
        <v>0</v>
      </c>
      <c r="L18" s="151">
        <f t="shared" si="3"/>
        <v>0</v>
      </c>
      <c r="M18" s="23">
        <f t="shared" si="4"/>
        <v>0</v>
      </c>
      <c r="N18" s="23">
        <f aca="true" t="shared" si="16" ref="N18:AZ18">M18*(1+$C$70)</f>
        <v>0</v>
      </c>
      <c r="O18" s="23">
        <f t="shared" si="16"/>
        <v>0</v>
      </c>
      <c r="P18" s="23">
        <f t="shared" si="16"/>
        <v>0</v>
      </c>
      <c r="Q18" s="23">
        <f t="shared" si="16"/>
        <v>0</v>
      </c>
      <c r="R18" s="23">
        <f t="shared" si="16"/>
        <v>0</v>
      </c>
      <c r="S18" s="23">
        <f t="shared" si="16"/>
        <v>0</v>
      </c>
      <c r="T18" s="23">
        <f t="shared" si="16"/>
        <v>0</v>
      </c>
      <c r="U18" s="23">
        <f t="shared" si="16"/>
        <v>0</v>
      </c>
      <c r="V18" s="23">
        <f t="shared" si="16"/>
        <v>0</v>
      </c>
      <c r="W18" s="23">
        <f t="shared" si="16"/>
        <v>0</v>
      </c>
      <c r="X18" s="23">
        <f t="shared" si="16"/>
        <v>0</v>
      </c>
      <c r="Y18" s="23">
        <f t="shared" si="16"/>
        <v>0</v>
      </c>
      <c r="Z18" s="23">
        <f t="shared" si="16"/>
        <v>0</v>
      </c>
      <c r="AA18" s="23">
        <f t="shared" si="16"/>
        <v>0</v>
      </c>
      <c r="AB18" s="23">
        <f t="shared" si="16"/>
        <v>0</v>
      </c>
      <c r="AC18" s="23">
        <f t="shared" si="16"/>
        <v>0</v>
      </c>
      <c r="AD18" s="23">
        <f t="shared" si="16"/>
        <v>0</v>
      </c>
      <c r="AE18" s="23">
        <f t="shared" si="16"/>
        <v>0</v>
      </c>
      <c r="AF18" s="23">
        <f t="shared" si="16"/>
        <v>0</v>
      </c>
      <c r="AG18" s="23">
        <f t="shared" si="16"/>
        <v>0</v>
      </c>
      <c r="AH18" s="23">
        <f t="shared" si="16"/>
        <v>0</v>
      </c>
      <c r="AI18" s="23">
        <f t="shared" si="16"/>
        <v>0</v>
      </c>
      <c r="AJ18" s="23">
        <f t="shared" si="16"/>
        <v>0</v>
      </c>
      <c r="AK18" s="23">
        <f t="shared" si="16"/>
        <v>0</v>
      </c>
      <c r="AL18" s="23">
        <f t="shared" si="16"/>
        <v>0</v>
      </c>
      <c r="AM18" s="23">
        <f t="shared" si="16"/>
        <v>0</v>
      </c>
      <c r="AN18" s="23">
        <f t="shared" si="16"/>
        <v>0</v>
      </c>
      <c r="AO18" s="23">
        <f t="shared" si="16"/>
        <v>0</v>
      </c>
      <c r="AP18" s="23">
        <f t="shared" si="16"/>
        <v>0</v>
      </c>
      <c r="AQ18" s="23">
        <f t="shared" si="16"/>
        <v>0</v>
      </c>
      <c r="AR18" s="23">
        <f t="shared" si="16"/>
        <v>0</v>
      </c>
      <c r="AS18" s="23">
        <f t="shared" si="16"/>
        <v>0</v>
      </c>
      <c r="AT18" s="23">
        <f t="shared" si="16"/>
        <v>0</v>
      </c>
      <c r="AU18" s="23">
        <f t="shared" si="16"/>
        <v>0</v>
      </c>
      <c r="AV18" s="23">
        <f t="shared" si="16"/>
        <v>0</v>
      </c>
      <c r="AW18" s="23">
        <f t="shared" si="16"/>
        <v>0</v>
      </c>
      <c r="AX18" s="23">
        <f t="shared" si="16"/>
        <v>0</v>
      </c>
      <c r="AY18" s="23">
        <f t="shared" si="16"/>
        <v>0</v>
      </c>
      <c r="AZ18" s="23">
        <f t="shared" si="16"/>
        <v>0</v>
      </c>
    </row>
    <row r="19" spans="1:52" ht="15">
      <c r="A19" s="118" t="s">
        <v>503</v>
      </c>
      <c r="B19" s="24"/>
      <c r="C19" s="25" t="s">
        <v>8</v>
      </c>
      <c r="D19" s="25" t="s">
        <v>71</v>
      </c>
      <c r="E19" s="267">
        <f>'Green+Social Interface'!$T$21*'Green+Social Interface'!$U$21</f>
        <v>0</v>
      </c>
      <c r="F19" s="317">
        <f>$I$94</f>
        <v>14.481454056144837</v>
      </c>
      <c r="G19" s="329">
        <f>F19*VLOOKUP('Green+Social Interface'!$I$38,'Look-ups'!$A$15:$B$43,2,0)</f>
        <v>15.350341299513529</v>
      </c>
      <c r="H19" s="21">
        <f>'Green+Social Interface'!$O$6</f>
        <v>0.07</v>
      </c>
      <c r="I19" s="22"/>
      <c r="J19" s="168">
        <f t="shared" si="0"/>
        <v>0</v>
      </c>
      <c r="K19" s="32">
        <f t="shared" si="2"/>
        <v>0</v>
      </c>
      <c r="L19" s="151">
        <f t="shared" si="3"/>
        <v>0</v>
      </c>
      <c r="M19" s="23">
        <f t="shared" si="4"/>
        <v>0</v>
      </c>
      <c r="N19" s="23">
        <f aca="true" t="shared" si="17" ref="N19:AZ19">M19*(1+$C$70)</f>
        <v>0</v>
      </c>
      <c r="O19" s="23">
        <f t="shared" si="17"/>
        <v>0</v>
      </c>
      <c r="P19" s="23">
        <f t="shared" si="17"/>
        <v>0</v>
      </c>
      <c r="Q19" s="23">
        <f t="shared" si="17"/>
        <v>0</v>
      </c>
      <c r="R19" s="23">
        <f t="shared" si="17"/>
        <v>0</v>
      </c>
      <c r="S19" s="23">
        <f t="shared" si="17"/>
        <v>0</v>
      </c>
      <c r="T19" s="23">
        <f t="shared" si="17"/>
        <v>0</v>
      </c>
      <c r="U19" s="23">
        <f t="shared" si="17"/>
        <v>0</v>
      </c>
      <c r="V19" s="23">
        <f t="shared" si="17"/>
        <v>0</v>
      </c>
      <c r="W19" s="23">
        <f t="shared" si="17"/>
        <v>0</v>
      </c>
      <c r="X19" s="23">
        <f t="shared" si="17"/>
        <v>0</v>
      </c>
      <c r="Y19" s="23">
        <f t="shared" si="17"/>
        <v>0</v>
      </c>
      <c r="Z19" s="23">
        <f t="shared" si="17"/>
        <v>0</v>
      </c>
      <c r="AA19" s="23">
        <f t="shared" si="17"/>
        <v>0</v>
      </c>
      <c r="AB19" s="23">
        <f t="shared" si="17"/>
        <v>0</v>
      </c>
      <c r="AC19" s="23">
        <f t="shared" si="17"/>
        <v>0</v>
      </c>
      <c r="AD19" s="23">
        <f t="shared" si="17"/>
        <v>0</v>
      </c>
      <c r="AE19" s="23">
        <f t="shared" si="17"/>
        <v>0</v>
      </c>
      <c r="AF19" s="23">
        <f t="shared" si="17"/>
        <v>0</v>
      </c>
      <c r="AG19" s="23">
        <f t="shared" si="17"/>
        <v>0</v>
      </c>
      <c r="AH19" s="23">
        <f t="shared" si="17"/>
        <v>0</v>
      </c>
      <c r="AI19" s="23">
        <f t="shared" si="17"/>
        <v>0</v>
      </c>
      <c r="AJ19" s="23">
        <f t="shared" si="17"/>
        <v>0</v>
      </c>
      <c r="AK19" s="23">
        <f t="shared" si="17"/>
        <v>0</v>
      </c>
      <c r="AL19" s="23">
        <f t="shared" si="17"/>
        <v>0</v>
      </c>
      <c r="AM19" s="23">
        <f t="shared" si="17"/>
        <v>0</v>
      </c>
      <c r="AN19" s="23">
        <f t="shared" si="17"/>
        <v>0</v>
      </c>
      <c r="AO19" s="23">
        <f t="shared" si="17"/>
        <v>0</v>
      </c>
      <c r="AP19" s="23">
        <f t="shared" si="17"/>
        <v>0</v>
      </c>
      <c r="AQ19" s="23">
        <f t="shared" si="17"/>
        <v>0</v>
      </c>
      <c r="AR19" s="23">
        <f t="shared" si="17"/>
        <v>0</v>
      </c>
      <c r="AS19" s="23">
        <f t="shared" si="17"/>
        <v>0</v>
      </c>
      <c r="AT19" s="23">
        <f t="shared" si="17"/>
        <v>0</v>
      </c>
      <c r="AU19" s="23">
        <f t="shared" si="17"/>
        <v>0</v>
      </c>
      <c r="AV19" s="23">
        <f t="shared" si="17"/>
        <v>0</v>
      </c>
      <c r="AW19" s="23">
        <f t="shared" si="17"/>
        <v>0</v>
      </c>
      <c r="AX19" s="23">
        <f t="shared" si="17"/>
        <v>0</v>
      </c>
      <c r="AY19" s="23">
        <f t="shared" si="17"/>
        <v>0</v>
      </c>
      <c r="AZ19" s="23">
        <f t="shared" si="17"/>
        <v>0</v>
      </c>
    </row>
    <row r="20" spans="1:52" ht="15">
      <c r="A20" s="118" t="s">
        <v>503</v>
      </c>
      <c r="B20" s="24"/>
      <c r="C20" s="25" t="s">
        <v>9</v>
      </c>
      <c r="D20" s="25" t="s">
        <v>71</v>
      </c>
      <c r="E20" s="267">
        <f>'Green+Social Interface'!$T$22*'Green+Social Interface'!$U$22</f>
        <v>0</v>
      </c>
      <c r="F20" s="317">
        <f>$I$94</f>
        <v>14.481454056144837</v>
      </c>
      <c r="G20" s="329">
        <f>F20*VLOOKUP('Green+Social Interface'!$I$38,'Look-ups'!$A$15:$B$43,2,0)</f>
        <v>15.350341299513529</v>
      </c>
      <c r="H20" s="21">
        <f>'Green+Social Interface'!$O$6</f>
        <v>0.07</v>
      </c>
      <c r="I20" s="22"/>
      <c r="J20" s="168">
        <f t="shared" si="0"/>
        <v>0</v>
      </c>
      <c r="K20" s="32">
        <f t="shared" si="2"/>
        <v>0</v>
      </c>
      <c r="L20" s="151">
        <f t="shared" si="3"/>
        <v>0</v>
      </c>
      <c r="M20" s="23">
        <f t="shared" si="4"/>
        <v>0</v>
      </c>
      <c r="N20" s="23">
        <f aca="true" t="shared" si="18" ref="N20:AZ20">M20*(1+$C$70)</f>
        <v>0</v>
      </c>
      <c r="O20" s="23">
        <f t="shared" si="18"/>
        <v>0</v>
      </c>
      <c r="P20" s="23">
        <f t="shared" si="18"/>
        <v>0</v>
      </c>
      <c r="Q20" s="23">
        <f t="shared" si="18"/>
        <v>0</v>
      </c>
      <c r="R20" s="23">
        <f t="shared" si="18"/>
        <v>0</v>
      </c>
      <c r="S20" s="23">
        <f t="shared" si="18"/>
        <v>0</v>
      </c>
      <c r="T20" s="23">
        <f t="shared" si="18"/>
        <v>0</v>
      </c>
      <c r="U20" s="23">
        <f t="shared" si="18"/>
        <v>0</v>
      </c>
      <c r="V20" s="23">
        <f t="shared" si="18"/>
        <v>0</v>
      </c>
      <c r="W20" s="23">
        <f t="shared" si="18"/>
        <v>0</v>
      </c>
      <c r="X20" s="23">
        <f t="shared" si="18"/>
        <v>0</v>
      </c>
      <c r="Y20" s="23">
        <f t="shared" si="18"/>
        <v>0</v>
      </c>
      <c r="Z20" s="23">
        <f t="shared" si="18"/>
        <v>0</v>
      </c>
      <c r="AA20" s="23">
        <f t="shared" si="18"/>
        <v>0</v>
      </c>
      <c r="AB20" s="23">
        <f t="shared" si="18"/>
        <v>0</v>
      </c>
      <c r="AC20" s="23">
        <f t="shared" si="18"/>
        <v>0</v>
      </c>
      <c r="AD20" s="23">
        <f t="shared" si="18"/>
        <v>0</v>
      </c>
      <c r="AE20" s="23">
        <f t="shared" si="18"/>
        <v>0</v>
      </c>
      <c r="AF20" s="23">
        <f t="shared" si="18"/>
        <v>0</v>
      </c>
      <c r="AG20" s="23">
        <f t="shared" si="18"/>
        <v>0</v>
      </c>
      <c r="AH20" s="23">
        <f t="shared" si="18"/>
        <v>0</v>
      </c>
      <c r="AI20" s="23">
        <f t="shared" si="18"/>
        <v>0</v>
      </c>
      <c r="AJ20" s="23">
        <f t="shared" si="18"/>
        <v>0</v>
      </c>
      <c r="AK20" s="23">
        <f t="shared" si="18"/>
        <v>0</v>
      </c>
      <c r="AL20" s="23">
        <f t="shared" si="18"/>
        <v>0</v>
      </c>
      <c r="AM20" s="23">
        <f t="shared" si="18"/>
        <v>0</v>
      </c>
      <c r="AN20" s="23">
        <f t="shared" si="18"/>
        <v>0</v>
      </c>
      <c r="AO20" s="23">
        <f t="shared" si="18"/>
        <v>0</v>
      </c>
      <c r="AP20" s="23">
        <f t="shared" si="18"/>
        <v>0</v>
      </c>
      <c r="AQ20" s="23">
        <f t="shared" si="18"/>
        <v>0</v>
      </c>
      <c r="AR20" s="23">
        <f t="shared" si="18"/>
        <v>0</v>
      </c>
      <c r="AS20" s="23">
        <f t="shared" si="18"/>
        <v>0</v>
      </c>
      <c r="AT20" s="23">
        <f t="shared" si="18"/>
        <v>0</v>
      </c>
      <c r="AU20" s="23">
        <f t="shared" si="18"/>
        <v>0</v>
      </c>
      <c r="AV20" s="23">
        <f t="shared" si="18"/>
        <v>0</v>
      </c>
      <c r="AW20" s="23">
        <f t="shared" si="18"/>
        <v>0</v>
      </c>
      <c r="AX20" s="23">
        <f t="shared" si="18"/>
        <v>0</v>
      </c>
      <c r="AY20" s="23">
        <f t="shared" si="18"/>
        <v>0</v>
      </c>
      <c r="AZ20" s="23">
        <f t="shared" si="18"/>
        <v>0</v>
      </c>
    </row>
    <row r="21" spans="1:52" ht="15">
      <c r="A21" s="118" t="s">
        <v>503</v>
      </c>
      <c r="B21" s="24" t="s">
        <v>136</v>
      </c>
      <c r="C21" s="25" t="s">
        <v>6</v>
      </c>
      <c r="D21" s="25" t="s">
        <v>71</v>
      </c>
      <c r="E21" s="267">
        <f>'Green+Social Interface'!$O$18*'Green+Social Interface'!$P$18</f>
        <v>0</v>
      </c>
      <c r="F21" s="317">
        <f>$I$89</f>
        <v>14.481454056144837</v>
      </c>
      <c r="G21" s="329">
        <f>F21*VLOOKUP('Green+Social Interface'!$I$38,'Look-ups'!$A$15:$B$43,2,0)</f>
        <v>15.350341299513529</v>
      </c>
      <c r="H21" s="21">
        <f>'Green+Social Interface'!$O$6</f>
        <v>0.07</v>
      </c>
      <c r="I21" s="22"/>
      <c r="J21" s="168">
        <f t="shared" si="0"/>
        <v>0</v>
      </c>
      <c r="K21" s="32">
        <f t="shared" si="2"/>
        <v>0</v>
      </c>
      <c r="L21" s="151">
        <f t="shared" si="3"/>
        <v>0</v>
      </c>
      <c r="M21" s="23">
        <f t="shared" si="4"/>
        <v>0</v>
      </c>
      <c r="N21" s="23">
        <f aca="true" t="shared" si="19" ref="N21:AZ21">M21*(1+$C$70)</f>
        <v>0</v>
      </c>
      <c r="O21" s="23">
        <f t="shared" si="19"/>
        <v>0</v>
      </c>
      <c r="P21" s="23">
        <f t="shared" si="19"/>
        <v>0</v>
      </c>
      <c r="Q21" s="23">
        <f t="shared" si="19"/>
        <v>0</v>
      </c>
      <c r="R21" s="23">
        <f t="shared" si="19"/>
        <v>0</v>
      </c>
      <c r="S21" s="23">
        <f t="shared" si="19"/>
        <v>0</v>
      </c>
      <c r="T21" s="23">
        <f t="shared" si="19"/>
        <v>0</v>
      </c>
      <c r="U21" s="23">
        <f t="shared" si="19"/>
        <v>0</v>
      </c>
      <c r="V21" s="23">
        <f t="shared" si="19"/>
        <v>0</v>
      </c>
      <c r="W21" s="23">
        <f t="shared" si="19"/>
        <v>0</v>
      </c>
      <c r="X21" s="23">
        <f t="shared" si="19"/>
        <v>0</v>
      </c>
      <c r="Y21" s="23">
        <f t="shared" si="19"/>
        <v>0</v>
      </c>
      <c r="Z21" s="23">
        <f t="shared" si="19"/>
        <v>0</v>
      </c>
      <c r="AA21" s="23">
        <f t="shared" si="19"/>
        <v>0</v>
      </c>
      <c r="AB21" s="23">
        <f t="shared" si="19"/>
        <v>0</v>
      </c>
      <c r="AC21" s="23">
        <f t="shared" si="19"/>
        <v>0</v>
      </c>
      <c r="AD21" s="23">
        <f t="shared" si="19"/>
        <v>0</v>
      </c>
      <c r="AE21" s="23">
        <f t="shared" si="19"/>
        <v>0</v>
      </c>
      <c r="AF21" s="23">
        <f t="shared" si="19"/>
        <v>0</v>
      </c>
      <c r="AG21" s="23">
        <f t="shared" si="19"/>
        <v>0</v>
      </c>
      <c r="AH21" s="23">
        <f t="shared" si="19"/>
        <v>0</v>
      </c>
      <c r="AI21" s="23">
        <f t="shared" si="19"/>
        <v>0</v>
      </c>
      <c r="AJ21" s="23">
        <f t="shared" si="19"/>
        <v>0</v>
      </c>
      <c r="AK21" s="23">
        <f t="shared" si="19"/>
        <v>0</v>
      </c>
      <c r="AL21" s="23">
        <f t="shared" si="19"/>
        <v>0</v>
      </c>
      <c r="AM21" s="23">
        <f t="shared" si="19"/>
        <v>0</v>
      </c>
      <c r="AN21" s="23">
        <f t="shared" si="19"/>
        <v>0</v>
      </c>
      <c r="AO21" s="23">
        <f t="shared" si="19"/>
        <v>0</v>
      </c>
      <c r="AP21" s="23">
        <f t="shared" si="19"/>
        <v>0</v>
      </c>
      <c r="AQ21" s="23">
        <f t="shared" si="19"/>
        <v>0</v>
      </c>
      <c r="AR21" s="23">
        <f t="shared" si="19"/>
        <v>0</v>
      </c>
      <c r="AS21" s="23">
        <f t="shared" si="19"/>
        <v>0</v>
      </c>
      <c r="AT21" s="23">
        <f t="shared" si="19"/>
        <v>0</v>
      </c>
      <c r="AU21" s="23">
        <f t="shared" si="19"/>
        <v>0</v>
      </c>
      <c r="AV21" s="23">
        <f t="shared" si="19"/>
        <v>0</v>
      </c>
      <c r="AW21" s="23">
        <f t="shared" si="19"/>
        <v>0</v>
      </c>
      <c r="AX21" s="23">
        <f t="shared" si="19"/>
        <v>0</v>
      </c>
      <c r="AY21" s="23">
        <f t="shared" si="19"/>
        <v>0</v>
      </c>
      <c r="AZ21" s="23">
        <f t="shared" si="19"/>
        <v>0</v>
      </c>
    </row>
    <row r="22" spans="1:52" ht="15">
      <c r="A22" s="118" t="s">
        <v>503</v>
      </c>
      <c r="B22" s="24"/>
      <c r="C22" s="25" t="s">
        <v>7</v>
      </c>
      <c r="D22" s="25" t="s">
        <v>71</v>
      </c>
      <c r="E22" s="267">
        <f>'Green+Social Interface'!$O$19*'Green+Social Interface'!$P$19</f>
        <v>0</v>
      </c>
      <c r="F22" s="317">
        <f>$I$89</f>
        <v>14.481454056144837</v>
      </c>
      <c r="G22" s="329">
        <f>F22*VLOOKUP('Green+Social Interface'!$I$38,'Look-ups'!$A$15:$B$43,2,0)</f>
        <v>15.350341299513529</v>
      </c>
      <c r="H22" s="21">
        <f>'Green+Social Interface'!$O$6</f>
        <v>0.07</v>
      </c>
      <c r="I22" s="22"/>
      <c r="J22" s="168">
        <f t="shared" si="0"/>
        <v>0</v>
      </c>
      <c r="K22" s="32">
        <f t="shared" si="2"/>
        <v>0</v>
      </c>
      <c r="L22" s="151">
        <f t="shared" si="3"/>
        <v>0</v>
      </c>
      <c r="M22" s="23">
        <f t="shared" si="4"/>
        <v>0</v>
      </c>
      <c r="N22" s="23">
        <f aca="true" t="shared" si="20" ref="N22:AZ22">M22*(1+$C$70)</f>
        <v>0</v>
      </c>
      <c r="O22" s="23">
        <f t="shared" si="20"/>
        <v>0</v>
      </c>
      <c r="P22" s="23">
        <f t="shared" si="20"/>
        <v>0</v>
      </c>
      <c r="Q22" s="23">
        <f t="shared" si="20"/>
        <v>0</v>
      </c>
      <c r="R22" s="23">
        <f t="shared" si="20"/>
        <v>0</v>
      </c>
      <c r="S22" s="23">
        <f t="shared" si="20"/>
        <v>0</v>
      </c>
      <c r="T22" s="23">
        <f t="shared" si="20"/>
        <v>0</v>
      </c>
      <c r="U22" s="23">
        <f t="shared" si="20"/>
        <v>0</v>
      </c>
      <c r="V22" s="23">
        <f t="shared" si="20"/>
        <v>0</v>
      </c>
      <c r="W22" s="23">
        <f t="shared" si="20"/>
        <v>0</v>
      </c>
      <c r="X22" s="23">
        <f t="shared" si="20"/>
        <v>0</v>
      </c>
      <c r="Y22" s="23">
        <f t="shared" si="20"/>
        <v>0</v>
      </c>
      <c r="Z22" s="23">
        <f t="shared" si="20"/>
        <v>0</v>
      </c>
      <c r="AA22" s="23">
        <f t="shared" si="20"/>
        <v>0</v>
      </c>
      <c r="AB22" s="23">
        <f t="shared" si="20"/>
        <v>0</v>
      </c>
      <c r="AC22" s="23">
        <f t="shared" si="20"/>
        <v>0</v>
      </c>
      <c r="AD22" s="23">
        <f t="shared" si="20"/>
        <v>0</v>
      </c>
      <c r="AE22" s="23">
        <f t="shared" si="20"/>
        <v>0</v>
      </c>
      <c r="AF22" s="23">
        <f t="shared" si="20"/>
        <v>0</v>
      </c>
      <c r="AG22" s="23">
        <f t="shared" si="20"/>
        <v>0</v>
      </c>
      <c r="AH22" s="23">
        <f t="shared" si="20"/>
        <v>0</v>
      </c>
      <c r="AI22" s="23">
        <f t="shared" si="20"/>
        <v>0</v>
      </c>
      <c r="AJ22" s="23">
        <f t="shared" si="20"/>
        <v>0</v>
      </c>
      <c r="AK22" s="23">
        <f t="shared" si="20"/>
        <v>0</v>
      </c>
      <c r="AL22" s="23">
        <f t="shared" si="20"/>
        <v>0</v>
      </c>
      <c r="AM22" s="23">
        <f t="shared" si="20"/>
        <v>0</v>
      </c>
      <c r="AN22" s="23">
        <f t="shared" si="20"/>
        <v>0</v>
      </c>
      <c r="AO22" s="23">
        <f t="shared" si="20"/>
        <v>0</v>
      </c>
      <c r="AP22" s="23">
        <f t="shared" si="20"/>
        <v>0</v>
      </c>
      <c r="AQ22" s="23">
        <f t="shared" si="20"/>
        <v>0</v>
      </c>
      <c r="AR22" s="23">
        <f t="shared" si="20"/>
        <v>0</v>
      </c>
      <c r="AS22" s="23">
        <f t="shared" si="20"/>
        <v>0</v>
      </c>
      <c r="AT22" s="23">
        <f t="shared" si="20"/>
        <v>0</v>
      </c>
      <c r="AU22" s="23">
        <f t="shared" si="20"/>
        <v>0</v>
      </c>
      <c r="AV22" s="23">
        <f t="shared" si="20"/>
        <v>0</v>
      </c>
      <c r="AW22" s="23">
        <f t="shared" si="20"/>
        <v>0</v>
      </c>
      <c r="AX22" s="23">
        <f t="shared" si="20"/>
        <v>0</v>
      </c>
      <c r="AY22" s="23">
        <f t="shared" si="20"/>
        <v>0</v>
      </c>
      <c r="AZ22" s="23">
        <f t="shared" si="20"/>
        <v>0</v>
      </c>
    </row>
    <row r="23" spans="1:52" ht="15">
      <c r="A23" s="118" t="s">
        <v>503</v>
      </c>
      <c r="B23" s="24"/>
      <c r="C23" s="25" t="s">
        <v>8</v>
      </c>
      <c r="D23" s="25" t="s">
        <v>71</v>
      </c>
      <c r="E23" s="267">
        <f>'Green+Social Interface'!$O$20*'Green+Social Interface'!$P$20</f>
        <v>0</v>
      </c>
      <c r="F23" s="317">
        <f>$I$89</f>
        <v>14.481454056144837</v>
      </c>
      <c r="G23" s="329">
        <f>F23*VLOOKUP('Green+Social Interface'!$I$38,'Look-ups'!$A$15:$B$43,2,0)</f>
        <v>15.350341299513529</v>
      </c>
      <c r="H23" s="21">
        <f>'Green+Social Interface'!$O$6</f>
        <v>0.07</v>
      </c>
      <c r="I23" s="22"/>
      <c r="J23" s="168">
        <f t="shared" si="0"/>
        <v>0</v>
      </c>
      <c r="K23" s="32">
        <f t="shared" si="2"/>
        <v>0</v>
      </c>
      <c r="L23" s="151">
        <f t="shared" si="3"/>
        <v>0</v>
      </c>
      <c r="M23" s="23">
        <f t="shared" si="4"/>
        <v>0</v>
      </c>
      <c r="N23" s="23">
        <f aca="true" t="shared" si="21" ref="N23:AZ23">M23*(1+$C$70)</f>
        <v>0</v>
      </c>
      <c r="O23" s="23">
        <f t="shared" si="21"/>
        <v>0</v>
      </c>
      <c r="P23" s="23">
        <f t="shared" si="21"/>
        <v>0</v>
      </c>
      <c r="Q23" s="23">
        <f t="shared" si="21"/>
        <v>0</v>
      </c>
      <c r="R23" s="23">
        <f t="shared" si="21"/>
        <v>0</v>
      </c>
      <c r="S23" s="23">
        <f t="shared" si="21"/>
        <v>0</v>
      </c>
      <c r="T23" s="23">
        <f t="shared" si="21"/>
        <v>0</v>
      </c>
      <c r="U23" s="23">
        <f t="shared" si="21"/>
        <v>0</v>
      </c>
      <c r="V23" s="23">
        <f t="shared" si="21"/>
        <v>0</v>
      </c>
      <c r="W23" s="23">
        <f t="shared" si="21"/>
        <v>0</v>
      </c>
      <c r="X23" s="23">
        <f t="shared" si="21"/>
        <v>0</v>
      </c>
      <c r="Y23" s="23">
        <f t="shared" si="21"/>
        <v>0</v>
      </c>
      <c r="Z23" s="23">
        <f t="shared" si="21"/>
        <v>0</v>
      </c>
      <c r="AA23" s="23">
        <f t="shared" si="21"/>
        <v>0</v>
      </c>
      <c r="AB23" s="23">
        <f t="shared" si="21"/>
        <v>0</v>
      </c>
      <c r="AC23" s="23">
        <f t="shared" si="21"/>
        <v>0</v>
      </c>
      <c r="AD23" s="23">
        <f t="shared" si="21"/>
        <v>0</v>
      </c>
      <c r="AE23" s="23">
        <f t="shared" si="21"/>
        <v>0</v>
      </c>
      <c r="AF23" s="23">
        <f t="shared" si="21"/>
        <v>0</v>
      </c>
      <c r="AG23" s="23">
        <f t="shared" si="21"/>
        <v>0</v>
      </c>
      <c r="AH23" s="23">
        <f t="shared" si="21"/>
        <v>0</v>
      </c>
      <c r="AI23" s="23">
        <f t="shared" si="21"/>
        <v>0</v>
      </c>
      <c r="AJ23" s="23">
        <f t="shared" si="21"/>
        <v>0</v>
      </c>
      <c r="AK23" s="23">
        <f t="shared" si="21"/>
        <v>0</v>
      </c>
      <c r="AL23" s="23">
        <f t="shared" si="21"/>
        <v>0</v>
      </c>
      <c r="AM23" s="23">
        <f t="shared" si="21"/>
        <v>0</v>
      </c>
      <c r="AN23" s="23">
        <f t="shared" si="21"/>
        <v>0</v>
      </c>
      <c r="AO23" s="23">
        <f t="shared" si="21"/>
        <v>0</v>
      </c>
      <c r="AP23" s="23">
        <f t="shared" si="21"/>
        <v>0</v>
      </c>
      <c r="AQ23" s="23">
        <f t="shared" si="21"/>
        <v>0</v>
      </c>
      <c r="AR23" s="23">
        <f t="shared" si="21"/>
        <v>0</v>
      </c>
      <c r="AS23" s="23">
        <f t="shared" si="21"/>
        <v>0</v>
      </c>
      <c r="AT23" s="23">
        <f t="shared" si="21"/>
        <v>0</v>
      </c>
      <c r="AU23" s="23">
        <f t="shared" si="21"/>
        <v>0</v>
      </c>
      <c r="AV23" s="23">
        <f t="shared" si="21"/>
        <v>0</v>
      </c>
      <c r="AW23" s="23">
        <f t="shared" si="21"/>
        <v>0</v>
      </c>
      <c r="AX23" s="23">
        <f t="shared" si="21"/>
        <v>0</v>
      </c>
      <c r="AY23" s="23">
        <f t="shared" si="21"/>
        <v>0</v>
      </c>
      <c r="AZ23" s="23">
        <f t="shared" si="21"/>
        <v>0</v>
      </c>
    </row>
    <row r="24" spans="1:52" ht="15">
      <c r="A24" s="118" t="s">
        <v>503</v>
      </c>
      <c r="B24" s="24"/>
      <c r="C24" s="25" t="s">
        <v>9</v>
      </c>
      <c r="D24" s="25" t="s">
        <v>71</v>
      </c>
      <c r="E24" s="267">
        <f>'Green+Social Interface'!$O$21*'Green+Social Interface'!$P$21</f>
        <v>0</v>
      </c>
      <c r="F24" s="317">
        <f>$I$89</f>
        <v>14.481454056144837</v>
      </c>
      <c r="G24" s="329">
        <f>F24*VLOOKUP('Green+Social Interface'!$I$38,'Look-ups'!$A$15:$B$43,2,0)</f>
        <v>15.350341299513529</v>
      </c>
      <c r="H24" s="21">
        <f>'Green+Social Interface'!$O$6</f>
        <v>0.07</v>
      </c>
      <c r="I24" s="22"/>
      <c r="J24" s="168">
        <f t="shared" si="0"/>
        <v>0</v>
      </c>
      <c r="K24" s="32">
        <f t="shared" si="2"/>
        <v>0</v>
      </c>
      <c r="L24" s="151">
        <f t="shared" si="3"/>
        <v>0</v>
      </c>
      <c r="M24" s="23">
        <f t="shared" si="4"/>
        <v>0</v>
      </c>
      <c r="N24" s="23">
        <f aca="true" t="shared" si="22" ref="N24:AZ24">M24*(1+$C$70)</f>
        <v>0</v>
      </c>
      <c r="O24" s="23">
        <f t="shared" si="22"/>
        <v>0</v>
      </c>
      <c r="P24" s="23">
        <f t="shared" si="22"/>
        <v>0</v>
      </c>
      <c r="Q24" s="23">
        <f t="shared" si="22"/>
        <v>0</v>
      </c>
      <c r="R24" s="23">
        <f t="shared" si="22"/>
        <v>0</v>
      </c>
      <c r="S24" s="23">
        <f t="shared" si="22"/>
        <v>0</v>
      </c>
      <c r="T24" s="23">
        <f t="shared" si="22"/>
        <v>0</v>
      </c>
      <c r="U24" s="23">
        <f t="shared" si="22"/>
        <v>0</v>
      </c>
      <c r="V24" s="23">
        <f t="shared" si="22"/>
        <v>0</v>
      </c>
      <c r="W24" s="23">
        <f t="shared" si="22"/>
        <v>0</v>
      </c>
      <c r="X24" s="23">
        <f t="shared" si="22"/>
        <v>0</v>
      </c>
      <c r="Y24" s="23">
        <f t="shared" si="22"/>
        <v>0</v>
      </c>
      <c r="Z24" s="23">
        <f t="shared" si="22"/>
        <v>0</v>
      </c>
      <c r="AA24" s="23">
        <f t="shared" si="22"/>
        <v>0</v>
      </c>
      <c r="AB24" s="23">
        <f t="shared" si="22"/>
        <v>0</v>
      </c>
      <c r="AC24" s="23">
        <f t="shared" si="22"/>
        <v>0</v>
      </c>
      <c r="AD24" s="23">
        <f t="shared" si="22"/>
        <v>0</v>
      </c>
      <c r="AE24" s="23">
        <f t="shared" si="22"/>
        <v>0</v>
      </c>
      <c r="AF24" s="23">
        <f t="shared" si="22"/>
        <v>0</v>
      </c>
      <c r="AG24" s="23">
        <f t="shared" si="22"/>
        <v>0</v>
      </c>
      <c r="AH24" s="23">
        <f t="shared" si="22"/>
        <v>0</v>
      </c>
      <c r="AI24" s="23">
        <f t="shared" si="22"/>
        <v>0</v>
      </c>
      <c r="AJ24" s="23">
        <f t="shared" si="22"/>
        <v>0</v>
      </c>
      <c r="AK24" s="23">
        <f t="shared" si="22"/>
        <v>0</v>
      </c>
      <c r="AL24" s="23">
        <f t="shared" si="22"/>
        <v>0</v>
      </c>
      <c r="AM24" s="23">
        <f t="shared" si="22"/>
        <v>0</v>
      </c>
      <c r="AN24" s="23">
        <f t="shared" si="22"/>
        <v>0</v>
      </c>
      <c r="AO24" s="23">
        <f t="shared" si="22"/>
        <v>0</v>
      </c>
      <c r="AP24" s="23">
        <f t="shared" si="22"/>
        <v>0</v>
      </c>
      <c r="AQ24" s="23">
        <f t="shared" si="22"/>
        <v>0</v>
      </c>
      <c r="AR24" s="23">
        <f t="shared" si="22"/>
        <v>0</v>
      </c>
      <c r="AS24" s="23">
        <f t="shared" si="22"/>
        <v>0</v>
      </c>
      <c r="AT24" s="23">
        <f t="shared" si="22"/>
        <v>0</v>
      </c>
      <c r="AU24" s="23">
        <f t="shared" si="22"/>
        <v>0</v>
      </c>
      <c r="AV24" s="23">
        <f t="shared" si="22"/>
        <v>0</v>
      </c>
      <c r="AW24" s="23">
        <f t="shared" si="22"/>
        <v>0</v>
      </c>
      <c r="AX24" s="23">
        <f t="shared" si="22"/>
        <v>0</v>
      </c>
      <c r="AY24" s="23">
        <f t="shared" si="22"/>
        <v>0</v>
      </c>
      <c r="AZ24" s="23">
        <f t="shared" si="22"/>
        <v>0</v>
      </c>
    </row>
    <row r="25" spans="1:52" ht="15">
      <c r="A25" s="118" t="s">
        <v>503</v>
      </c>
      <c r="B25" s="24"/>
      <c r="C25" s="25" t="s">
        <v>11</v>
      </c>
      <c r="D25" s="25" t="s">
        <v>71</v>
      </c>
      <c r="E25" s="267">
        <f>'Green+Social Interface'!$O$22*'Green+Social Interface'!$P$22</f>
        <v>0</v>
      </c>
      <c r="F25" s="317">
        <f>$I$89</f>
        <v>14.481454056144837</v>
      </c>
      <c r="G25" s="329">
        <f>F25*VLOOKUP('Green+Social Interface'!$I$38,'Look-ups'!$A$15:$B$43,2,0)</f>
        <v>15.350341299513529</v>
      </c>
      <c r="H25" s="21">
        <f>'Green+Social Interface'!$O$6</f>
        <v>0.07</v>
      </c>
      <c r="I25" s="22"/>
      <c r="J25" s="168">
        <f t="shared" si="0"/>
        <v>0</v>
      </c>
      <c r="K25" s="32">
        <f t="shared" si="2"/>
        <v>0</v>
      </c>
      <c r="L25" s="151">
        <f t="shared" si="3"/>
        <v>0</v>
      </c>
      <c r="M25" s="23">
        <f t="shared" si="4"/>
        <v>0</v>
      </c>
      <c r="N25" s="23">
        <f aca="true" t="shared" si="23" ref="N25:AZ25">M25*(1+$C$70)</f>
        <v>0</v>
      </c>
      <c r="O25" s="23">
        <f t="shared" si="23"/>
        <v>0</v>
      </c>
      <c r="P25" s="23">
        <f t="shared" si="23"/>
        <v>0</v>
      </c>
      <c r="Q25" s="23">
        <f t="shared" si="23"/>
        <v>0</v>
      </c>
      <c r="R25" s="23">
        <f t="shared" si="23"/>
        <v>0</v>
      </c>
      <c r="S25" s="23">
        <f t="shared" si="23"/>
        <v>0</v>
      </c>
      <c r="T25" s="23">
        <f t="shared" si="23"/>
        <v>0</v>
      </c>
      <c r="U25" s="23">
        <f t="shared" si="23"/>
        <v>0</v>
      </c>
      <c r="V25" s="23">
        <f t="shared" si="23"/>
        <v>0</v>
      </c>
      <c r="W25" s="23">
        <f t="shared" si="23"/>
        <v>0</v>
      </c>
      <c r="X25" s="23">
        <f t="shared" si="23"/>
        <v>0</v>
      </c>
      <c r="Y25" s="23">
        <f t="shared" si="23"/>
        <v>0</v>
      </c>
      <c r="Z25" s="23">
        <f t="shared" si="23"/>
        <v>0</v>
      </c>
      <c r="AA25" s="23">
        <f t="shared" si="23"/>
        <v>0</v>
      </c>
      <c r="AB25" s="23">
        <f t="shared" si="23"/>
        <v>0</v>
      </c>
      <c r="AC25" s="23">
        <f t="shared" si="23"/>
        <v>0</v>
      </c>
      <c r="AD25" s="23">
        <f t="shared" si="23"/>
        <v>0</v>
      </c>
      <c r="AE25" s="23">
        <f t="shared" si="23"/>
        <v>0</v>
      </c>
      <c r="AF25" s="23">
        <f t="shared" si="23"/>
        <v>0</v>
      </c>
      <c r="AG25" s="23">
        <f t="shared" si="23"/>
        <v>0</v>
      </c>
      <c r="AH25" s="23">
        <f t="shared" si="23"/>
        <v>0</v>
      </c>
      <c r="AI25" s="23">
        <f t="shared" si="23"/>
        <v>0</v>
      </c>
      <c r="AJ25" s="23">
        <f t="shared" si="23"/>
        <v>0</v>
      </c>
      <c r="AK25" s="23">
        <f t="shared" si="23"/>
        <v>0</v>
      </c>
      <c r="AL25" s="23">
        <f t="shared" si="23"/>
        <v>0</v>
      </c>
      <c r="AM25" s="23">
        <f t="shared" si="23"/>
        <v>0</v>
      </c>
      <c r="AN25" s="23">
        <f t="shared" si="23"/>
        <v>0</v>
      </c>
      <c r="AO25" s="23">
        <f t="shared" si="23"/>
        <v>0</v>
      </c>
      <c r="AP25" s="23">
        <f t="shared" si="23"/>
        <v>0</v>
      </c>
      <c r="AQ25" s="23">
        <f t="shared" si="23"/>
        <v>0</v>
      </c>
      <c r="AR25" s="23">
        <f t="shared" si="23"/>
        <v>0</v>
      </c>
      <c r="AS25" s="23">
        <f t="shared" si="23"/>
        <v>0</v>
      </c>
      <c r="AT25" s="23">
        <f t="shared" si="23"/>
        <v>0</v>
      </c>
      <c r="AU25" s="23">
        <f t="shared" si="23"/>
        <v>0</v>
      </c>
      <c r="AV25" s="23">
        <f t="shared" si="23"/>
        <v>0</v>
      </c>
      <c r="AW25" s="23">
        <f t="shared" si="23"/>
        <v>0</v>
      </c>
      <c r="AX25" s="23">
        <f t="shared" si="23"/>
        <v>0</v>
      </c>
      <c r="AY25" s="23">
        <f t="shared" si="23"/>
        <v>0</v>
      </c>
      <c r="AZ25" s="23">
        <f t="shared" si="23"/>
        <v>0</v>
      </c>
    </row>
    <row r="26" spans="1:52" ht="15">
      <c r="A26" s="118"/>
      <c r="B26" s="268" t="s">
        <v>506</v>
      </c>
      <c r="C26" s="25"/>
      <c r="D26" s="25"/>
      <c r="E26" s="267"/>
      <c r="F26" s="27"/>
      <c r="G26" s="166"/>
      <c r="H26" s="21"/>
      <c r="I26" s="22"/>
      <c r="J26" s="32"/>
      <c r="K26" s="32"/>
      <c r="L26" s="152"/>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row>
    <row r="27" spans="1:52" ht="15">
      <c r="A27" s="118"/>
      <c r="B27" s="24" t="s">
        <v>509</v>
      </c>
      <c r="C27" s="25"/>
      <c r="D27" s="25" t="s">
        <v>71</v>
      </c>
      <c r="E27" s="269"/>
      <c r="F27" s="27"/>
      <c r="G27" s="166"/>
      <c r="H27" s="21"/>
      <c r="I27" s="22"/>
      <c r="J27" s="168">
        <f>IF(AND(K27&gt;0,$C$67&gt;0),K27/$C$67,0)</f>
        <v>0</v>
      </c>
      <c r="K27" s="32">
        <f t="shared" si="2"/>
        <v>0</v>
      </c>
      <c r="L27" s="151">
        <f t="shared" si="3"/>
        <v>0</v>
      </c>
      <c r="M27" s="33">
        <f>SUM(M6:M26)</f>
        <v>0</v>
      </c>
      <c r="N27" s="33">
        <f aca="true" t="shared" si="24" ref="N27:AZ27">SUM(N6:N26)</f>
        <v>0</v>
      </c>
      <c r="O27" s="33">
        <f t="shared" si="24"/>
        <v>0</v>
      </c>
      <c r="P27" s="33">
        <f t="shared" si="24"/>
        <v>0</v>
      </c>
      <c r="Q27" s="33">
        <f t="shared" si="24"/>
        <v>0</v>
      </c>
      <c r="R27" s="33">
        <f t="shared" si="24"/>
        <v>0</v>
      </c>
      <c r="S27" s="33">
        <f t="shared" si="24"/>
        <v>0</v>
      </c>
      <c r="T27" s="33">
        <f t="shared" si="24"/>
        <v>0</v>
      </c>
      <c r="U27" s="33">
        <f t="shared" si="24"/>
        <v>0</v>
      </c>
      <c r="V27" s="33">
        <f t="shared" si="24"/>
        <v>0</v>
      </c>
      <c r="W27" s="33">
        <f t="shared" si="24"/>
        <v>0</v>
      </c>
      <c r="X27" s="33">
        <f t="shared" si="24"/>
        <v>0</v>
      </c>
      <c r="Y27" s="33">
        <f t="shared" si="24"/>
        <v>0</v>
      </c>
      <c r="Z27" s="33">
        <f t="shared" si="24"/>
        <v>0</v>
      </c>
      <c r="AA27" s="33">
        <f t="shared" si="24"/>
        <v>0</v>
      </c>
      <c r="AB27" s="33">
        <f t="shared" si="24"/>
        <v>0</v>
      </c>
      <c r="AC27" s="33">
        <f t="shared" si="24"/>
        <v>0</v>
      </c>
      <c r="AD27" s="33">
        <f t="shared" si="24"/>
        <v>0</v>
      </c>
      <c r="AE27" s="33">
        <f t="shared" si="24"/>
        <v>0</v>
      </c>
      <c r="AF27" s="33">
        <f t="shared" si="24"/>
        <v>0</v>
      </c>
      <c r="AG27" s="33">
        <f t="shared" si="24"/>
        <v>0</v>
      </c>
      <c r="AH27" s="33">
        <f t="shared" si="24"/>
        <v>0</v>
      </c>
      <c r="AI27" s="33">
        <f t="shared" si="24"/>
        <v>0</v>
      </c>
      <c r="AJ27" s="33">
        <f t="shared" si="24"/>
        <v>0</v>
      </c>
      <c r="AK27" s="33">
        <f t="shared" si="24"/>
        <v>0</v>
      </c>
      <c r="AL27" s="33">
        <f t="shared" si="24"/>
        <v>0</v>
      </c>
      <c r="AM27" s="33">
        <f t="shared" si="24"/>
        <v>0</v>
      </c>
      <c r="AN27" s="33">
        <f t="shared" si="24"/>
        <v>0</v>
      </c>
      <c r="AO27" s="33">
        <f t="shared" si="24"/>
        <v>0</v>
      </c>
      <c r="AP27" s="33">
        <f t="shared" si="24"/>
        <v>0</v>
      </c>
      <c r="AQ27" s="33">
        <f t="shared" si="24"/>
        <v>0</v>
      </c>
      <c r="AR27" s="33">
        <f t="shared" si="24"/>
        <v>0</v>
      </c>
      <c r="AS27" s="33">
        <f t="shared" si="24"/>
        <v>0</v>
      </c>
      <c r="AT27" s="33">
        <f t="shared" si="24"/>
        <v>0</v>
      </c>
      <c r="AU27" s="33">
        <f t="shared" si="24"/>
        <v>0</v>
      </c>
      <c r="AV27" s="33">
        <f t="shared" si="24"/>
        <v>0</v>
      </c>
      <c r="AW27" s="33">
        <f t="shared" si="24"/>
        <v>0</v>
      </c>
      <c r="AX27" s="33">
        <f t="shared" si="24"/>
        <v>0</v>
      </c>
      <c r="AY27" s="33">
        <f t="shared" si="24"/>
        <v>0</v>
      </c>
      <c r="AZ27" s="33">
        <f t="shared" si="24"/>
        <v>0</v>
      </c>
    </row>
    <row r="28" spans="2:52" ht="15">
      <c r="B28" s="24" t="s">
        <v>500</v>
      </c>
      <c r="C28" s="25"/>
      <c r="D28" s="25"/>
      <c r="E28" s="34"/>
      <c r="F28" s="27"/>
      <c r="G28" s="166"/>
      <c r="H28" s="21"/>
      <c r="I28" s="22"/>
      <c r="J28" s="32"/>
      <c r="K28" s="32"/>
      <c r="L28" s="152"/>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row>
    <row r="29" spans="2:52" ht="15">
      <c r="B29" s="24" t="s">
        <v>5</v>
      </c>
      <c r="C29" s="29" t="s">
        <v>10</v>
      </c>
      <c r="D29" s="25" t="s">
        <v>67</v>
      </c>
      <c r="E29" s="266">
        <f>'Green+Social Interface'!$J$18*'Green+Social Interface'!$I$18</f>
        <v>0</v>
      </c>
      <c r="F29" s="317">
        <f>$D$87</f>
        <v>17.81628732043309</v>
      </c>
      <c r="G29" t="s">
        <v>512</v>
      </c>
      <c r="H29" s="21">
        <f>'Green+Social Interface'!$O$6</f>
        <v>0.07</v>
      </c>
      <c r="I29" s="22"/>
      <c r="J29" s="168">
        <f aca="true" t="shared" si="25" ref="J29:J48">IF(AND(K29&gt;0,$C$67&gt;0),K29/$C$67,0)</f>
        <v>0</v>
      </c>
      <c r="K29" s="270">
        <f aca="true" t="shared" si="26" ref="K29">AVERAGE(M29:AZ29)</f>
        <v>0</v>
      </c>
      <c r="L29" s="271">
        <f aca="true" t="shared" si="27" ref="L29">SUM(M29:AZ29)</f>
        <v>0</v>
      </c>
      <c r="M29" s="31">
        <f>(E29*F29)*(1-H29)</f>
        <v>0</v>
      </c>
      <c r="N29" s="31">
        <f>M29</f>
        <v>0</v>
      </c>
      <c r="O29" s="31">
        <f aca="true" t="shared" si="28" ref="O29:AZ36">N29</f>
        <v>0</v>
      </c>
      <c r="P29" s="31">
        <f t="shared" si="28"/>
        <v>0</v>
      </c>
      <c r="Q29" s="31">
        <f t="shared" si="28"/>
        <v>0</v>
      </c>
      <c r="R29" s="31">
        <f t="shared" si="28"/>
        <v>0</v>
      </c>
      <c r="S29" s="31">
        <f t="shared" si="28"/>
        <v>0</v>
      </c>
      <c r="T29" s="31">
        <f t="shared" si="28"/>
        <v>0</v>
      </c>
      <c r="U29" s="31">
        <f t="shared" si="28"/>
        <v>0</v>
      </c>
      <c r="V29" s="31">
        <f t="shared" si="28"/>
        <v>0</v>
      </c>
      <c r="W29" s="31">
        <f t="shared" si="28"/>
        <v>0</v>
      </c>
      <c r="X29" s="31">
        <f t="shared" si="28"/>
        <v>0</v>
      </c>
      <c r="Y29" s="31">
        <f t="shared" si="28"/>
        <v>0</v>
      </c>
      <c r="Z29" s="31">
        <f t="shared" si="28"/>
        <v>0</v>
      </c>
      <c r="AA29" s="31">
        <f t="shared" si="28"/>
        <v>0</v>
      </c>
      <c r="AB29" s="31">
        <f t="shared" si="28"/>
        <v>0</v>
      </c>
      <c r="AC29" s="31">
        <f t="shared" si="28"/>
        <v>0</v>
      </c>
      <c r="AD29" s="31">
        <f t="shared" si="28"/>
        <v>0</v>
      </c>
      <c r="AE29" s="31">
        <f t="shared" si="28"/>
        <v>0</v>
      </c>
      <c r="AF29" s="31">
        <f t="shared" si="28"/>
        <v>0</v>
      </c>
      <c r="AG29" s="31">
        <f t="shared" si="28"/>
        <v>0</v>
      </c>
      <c r="AH29" s="31">
        <f t="shared" si="28"/>
        <v>0</v>
      </c>
      <c r="AI29" s="31">
        <f t="shared" si="28"/>
        <v>0</v>
      </c>
      <c r="AJ29" s="31">
        <f t="shared" si="28"/>
        <v>0</v>
      </c>
      <c r="AK29" s="31">
        <f t="shared" si="28"/>
        <v>0</v>
      </c>
      <c r="AL29" s="31">
        <f t="shared" si="28"/>
        <v>0</v>
      </c>
      <c r="AM29" s="31">
        <f t="shared" si="28"/>
        <v>0</v>
      </c>
      <c r="AN29" s="31">
        <f t="shared" si="28"/>
        <v>0</v>
      </c>
      <c r="AO29" s="31">
        <f t="shared" si="28"/>
        <v>0</v>
      </c>
      <c r="AP29" s="31">
        <f t="shared" si="28"/>
        <v>0</v>
      </c>
      <c r="AQ29" s="31">
        <f t="shared" si="28"/>
        <v>0</v>
      </c>
      <c r="AR29" s="31">
        <f t="shared" si="28"/>
        <v>0</v>
      </c>
      <c r="AS29" s="31">
        <f t="shared" si="28"/>
        <v>0</v>
      </c>
      <c r="AT29" s="31">
        <f t="shared" si="28"/>
        <v>0</v>
      </c>
      <c r="AU29" s="31">
        <f t="shared" si="28"/>
        <v>0</v>
      </c>
      <c r="AV29" s="31">
        <f t="shared" si="28"/>
        <v>0</v>
      </c>
      <c r="AW29" s="31">
        <f t="shared" si="28"/>
        <v>0</v>
      </c>
      <c r="AX29" s="31">
        <f t="shared" si="28"/>
        <v>0</v>
      </c>
      <c r="AY29" s="31">
        <f t="shared" si="28"/>
        <v>0</v>
      </c>
      <c r="AZ29" s="31">
        <f t="shared" si="28"/>
        <v>0</v>
      </c>
    </row>
    <row r="30" spans="2:52" ht="15">
      <c r="B30" s="24"/>
      <c r="C30" s="25" t="s">
        <v>6</v>
      </c>
      <c r="D30" s="25" t="s">
        <v>67</v>
      </c>
      <c r="E30" s="266">
        <f>'Green+Social Interface'!$J$19*'Green+Social Interface'!$I$19</f>
        <v>0</v>
      </c>
      <c r="F30" s="317">
        <f>$D$87</f>
        <v>17.81628732043309</v>
      </c>
      <c r="G30" t="s">
        <v>512</v>
      </c>
      <c r="H30" s="21">
        <f>'Green+Social Interface'!$O$6</f>
        <v>0.07</v>
      </c>
      <c r="I30" s="22"/>
      <c r="J30" s="168">
        <f t="shared" si="25"/>
        <v>0</v>
      </c>
      <c r="K30" s="270">
        <f aca="true" t="shared" si="29" ref="K30:K48">AVERAGE(M30:AZ30)</f>
        <v>0</v>
      </c>
      <c r="L30" s="271">
        <f aca="true" t="shared" si="30" ref="L30:L48">SUM(M30:AZ30)</f>
        <v>0</v>
      </c>
      <c r="M30" s="31">
        <f aca="true" t="shared" si="31" ref="M30:M48">(E30*F30)*(1-H30)</f>
        <v>0</v>
      </c>
      <c r="N30" s="31">
        <f aca="true" t="shared" si="32" ref="N30:AC48">M30</f>
        <v>0</v>
      </c>
      <c r="O30" s="31">
        <f t="shared" si="32"/>
        <v>0</v>
      </c>
      <c r="P30" s="31">
        <f t="shared" si="32"/>
        <v>0</v>
      </c>
      <c r="Q30" s="31">
        <f t="shared" si="32"/>
        <v>0</v>
      </c>
      <c r="R30" s="31">
        <f t="shared" si="32"/>
        <v>0</v>
      </c>
      <c r="S30" s="31">
        <f t="shared" si="32"/>
        <v>0</v>
      </c>
      <c r="T30" s="31">
        <f t="shared" si="32"/>
        <v>0</v>
      </c>
      <c r="U30" s="31">
        <f t="shared" si="32"/>
        <v>0</v>
      </c>
      <c r="V30" s="31">
        <f t="shared" si="32"/>
        <v>0</v>
      </c>
      <c r="W30" s="31">
        <f t="shared" si="32"/>
        <v>0</v>
      </c>
      <c r="X30" s="31">
        <f t="shared" si="32"/>
        <v>0</v>
      </c>
      <c r="Y30" s="31">
        <f t="shared" si="32"/>
        <v>0</v>
      </c>
      <c r="Z30" s="31">
        <f t="shared" si="32"/>
        <v>0</v>
      </c>
      <c r="AA30" s="31">
        <f t="shared" si="32"/>
        <v>0</v>
      </c>
      <c r="AB30" s="31">
        <f t="shared" si="32"/>
        <v>0</v>
      </c>
      <c r="AC30" s="31">
        <f t="shared" si="32"/>
        <v>0</v>
      </c>
      <c r="AD30" s="31">
        <f t="shared" si="28"/>
        <v>0</v>
      </c>
      <c r="AE30" s="31">
        <f t="shared" si="28"/>
        <v>0</v>
      </c>
      <c r="AF30" s="31">
        <f t="shared" si="28"/>
        <v>0</v>
      </c>
      <c r="AG30" s="31">
        <f t="shared" si="28"/>
        <v>0</v>
      </c>
      <c r="AH30" s="31">
        <f t="shared" si="28"/>
        <v>0</v>
      </c>
      <c r="AI30" s="31">
        <f t="shared" si="28"/>
        <v>0</v>
      </c>
      <c r="AJ30" s="31">
        <f t="shared" si="28"/>
        <v>0</v>
      </c>
      <c r="AK30" s="31">
        <f t="shared" si="28"/>
        <v>0</v>
      </c>
      <c r="AL30" s="31">
        <f t="shared" si="28"/>
        <v>0</v>
      </c>
      <c r="AM30" s="31">
        <f t="shared" si="28"/>
        <v>0</v>
      </c>
      <c r="AN30" s="31">
        <f t="shared" si="28"/>
        <v>0</v>
      </c>
      <c r="AO30" s="31">
        <f t="shared" si="28"/>
        <v>0</v>
      </c>
      <c r="AP30" s="31">
        <f t="shared" si="28"/>
        <v>0</v>
      </c>
      <c r="AQ30" s="31">
        <f t="shared" si="28"/>
        <v>0</v>
      </c>
      <c r="AR30" s="31">
        <f t="shared" si="28"/>
        <v>0</v>
      </c>
      <c r="AS30" s="31">
        <f t="shared" si="28"/>
        <v>0</v>
      </c>
      <c r="AT30" s="31">
        <f t="shared" si="28"/>
        <v>0</v>
      </c>
      <c r="AU30" s="31">
        <f t="shared" si="28"/>
        <v>0</v>
      </c>
      <c r="AV30" s="31">
        <f t="shared" si="28"/>
        <v>0</v>
      </c>
      <c r="AW30" s="31">
        <f t="shared" si="28"/>
        <v>0</v>
      </c>
      <c r="AX30" s="31">
        <f t="shared" si="28"/>
        <v>0</v>
      </c>
      <c r="AY30" s="31">
        <f t="shared" si="28"/>
        <v>0</v>
      </c>
      <c r="AZ30" s="31">
        <f t="shared" si="28"/>
        <v>0</v>
      </c>
    </row>
    <row r="31" spans="2:52" ht="15">
      <c r="B31" s="24"/>
      <c r="C31" s="25" t="s">
        <v>7</v>
      </c>
      <c r="D31" s="25" t="s">
        <v>67</v>
      </c>
      <c r="E31" s="266">
        <f>'Green+Social Interface'!$J$20*'Green+Social Interface'!$I$20</f>
        <v>0</v>
      </c>
      <c r="F31" s="317">
        <f>$D$87</f>
        <v>17.81628732043309</v>
      </c>
      <c r="G31" t="s">
        <v>512</v>
      </c>
      <c r="H31" s="21">
        <f>'Green+Social Interface'!$O$6</f>
        <v>0.07</v>
      </c>
      <c r="I31" s="22"/>
      <c r="J31" s="168">
        <f t="shared" si="25"/>
        <v>0</v>
      </c>
      <c r="K31" s="270">
        <f t="shared" si="29"/>
        <v>0</v>
      </c>
      <c r="L31" s="271">
        <f t="shared" si="30"/>
        <v>0</v>
      </c>
      <c r="M31" s="31">
        <f t="shared" si="31"/>
        <v>0</v>
      </c>
      <c r="N31" s="31">
        <f t="shared" si="32"/>
        <v>0</v>
      </c>
      <c r="O31" s="31">
        <f t="shared" si="28"/>
        <v>0</v>
      </c>
      <c r="P31" s="31">
        <f t="shared" si="28"/>
        <v>0</v>
      </c>
      <c r="Q31" s="31">
        <f t="shared" si="28"/>
        <v>0</v>
      </c>
      <c r="R31" s="31">
        <f t="shared" si="28"/>
        <v>0</v>
      </c>
      <c r="S31" s="31">
        <f t="shared" si="28"/>
        <v>0</v>
      </c>
      <c r="T31" s="31">
        <f t="shared" si="28"/>
        <v>0</v>
      </c>
      <c r="U31" s="31">
        <f t="shared" si="28"/>
        <v>0</v>
      </c>
      <c r="V31" s="31">
        <f t="shared" si="28"/>
        <v>0</v>
      </c>
      <c r="W31" s="31">
        <f t="shared" si="28"/>
        <v>0</v>
      </c>
      <c r="X31" s="31">
        <f t="shared" si="28"/>
        <v>0</v>
      </c>
      <c r="Y31" s="31">
        <f t="shared" si="28"/>
        <v>0</v>
      </c>
      <c r="Z31" s="31">
        <f t="shared" si="28"/>
        <v>0</v>
      </c>
      <c r="AA31" s="31">
        <f t="shared" si="28"/>
        <v>0</v>
      </c>
      <c r="AB31" s="31">
        <f t="shared" si="28"/>
        <v>0</v>
      </c>
      <c r="AC31" s="31">
        <f t="shared" si="28"/>
        <v>0</v>
      </c>
      <c r="AD31" s="31">
        <f t="shared" si="28"/>
        <v>0</v>
      </c>
      <c r="AE31" s="31">
        <f t="shared" si="28"/>
        <v>0</v>
      </c>
      <c r="AF31" s="31">
        <f t="shared" si="28"/>
        <v>0</v>
      </c>
      <c r="AG31" s="31">
        <f t="shared" si="28"/>
        <v>0</v>
      </c>
      <c r="AH31" s="31">
        <f t="shared" si="28"/>
        <v>0</v>
      </c>
      <c r="AI31" s="31">
        <f t="shared" si="28"/>
        <v>0</v>
      </c>
      <c r="AJ31" s="31">
        <f t="shared" si="28"/>
        <v>0</v>
      </c>
      <c r="AK31" s="31">
        <f t="shared" si="28"/>
        <v>0</v>
      </c>
      <c r="AL31" s="31">
        <f t="shared" si="28"/>
        <v>0</v>
      </c>
      <c r="AM31" s="31">
        <f t="shared" si="28"/>
        <v>0</v>
      </c>
      <c r="AN31" s="31">
        <f t="shared" si="28"/>
        <v>0</v>
      </c>
      <c r="AO31" s="31">
        <f t="shared" si="28"/>
        <v>0</v>
      </c>
      <c r="AP31" s="31">
        <f t="shared" si="28"/>
        <v>0</v>
      </c>
      <c r="AQ31" s="31">
        <f t="shared" si="28"/>
        <v>0</v>
      </c>
      <c r="AR31" s="31">
        <f t="shared" si="28"/>
        <v>0</v>
      </c>
      <c r="AS31" s="31">
        <f t="shared" si="28"/>
        <v>0</v>
      </c>
      <c r="AT31" s="31">
        <f t="shared" si="28"/>
        <v>0</v>
      </c>
      <c r="AU31" s="31">
        <f t="shared" si="28"/>
        <v>0</v>
      </c>
      <c r="AV31" s="31">
        <f t="shared" si="28"/>
        <v>0</v>
      </c>
      <c r="AW31" s="31">
        <f t="shared" si="28"/>
        <v>0</v>
      </c>
      <c r="AX31" s="31">
        <f t="shared" si="28"/>
        <v>0</v>
      </c>
      <c r="AY31" s="31">
        <f t="shared" si="28"/>
        <v>0</v>
      </c>
      <c r="AZ31" s="31">
        <f t="shared" si="28"/>
        <v>0</v>
      </c>
    </row>
    <row r="32" spans="2:52" ht="15">
      <c r="B32" s="24"/>
      <c r="C32" s="25" t="s">
        <v>8</v>
      </c>
      <c r="D32" s="25" t="s">
        <v>67</v>
      </c>
      <c r="E32" s="266">
        <f>'Green+Social Interface'!$J$21*'Green+Social Interface'!$I$21</f>
        <v>0</v>
      </c>
      <c r="F32" s="317">
        <f>$D$87</f>
        <v>17.81628732043309</v>
      </c>
      <c r="G32" t="s">
        <v>512</v>
      </c>
      <c r="H32" s="21">
        <f>'Green+Social Interface'!$O$6</f>
        <v>0.07</v>
      </c>
      <c r="I32" s="22"/>
      <c r="J32" s="168">
        <f t="shared" si="25"/>
        <v>0</v>
      </c>
      <c r="K32" s="270">
        <f t="shared" si="29"/>
        <v>0</v>
      </c>
      <c r="L32" s="271">
        <f t="shared" si="30"/>
        <v>0</v>
      </c>
      <c r="M32" s="31">
        <f t="shared" si="31"/>
        <v>0</v>
      </c>
      <c r="N32" s="31">
        <f t="shared" si="32"/>
        <v>0</v>
      </c>
      <c r="O32" s="31">
        <f t="shared" si="28"/>
        <v>0</v>
      </c>
      <c r="P32" s="31">
        <f t="shared" si="28"/>
        <v>0</v>
      </c>
      <c r="Q32" s="31">
        <f t="shared" si="28"/>
        <v>0</v>
      </c>
      <c r="R32" s="31">
        <f t="shared" si="28"/>
        <v>0</v>
      </c>
      <c r="S32" s="31">
        <f t="shared" si="28"/>
        <v>0</v>
      </c>
      <c r="T32" s="31">
        <f t="shared" si="28"/>
        <v>0</v>
      </c>
      <c r="U32" s="31">
        <f t="shared" si="28"/>
        <v>0</v>
      </c>
      <c r="V32" s="31">
        <f t="shared" si="28"/>
        <v>0</v>
      </c>
      <c r="W32" s="31">
        <f t="shared" si="28"/>
        <v>0</v>
      </c>
      <c r="X32" s="31">
        <f t="shared" si="28"/>
        <v>0</v>
      </c>
      <c r="Y32" s="31">
        <f t="shared" si="28"/>
        <v>0</v>
      </c>
      <c r="Z32" s="31">
        <f t="shared" si="28"/>
        <v>0</v>
      </c>
      <c r="AA32" s="31">
        <f t="shared" si="28"/>
        <v>0</v>
      </c>
      <c r="AB32" s="31">
        <f t="shared" si="28"/>
        <v>0</v>
      </c>
      <c r="AC32" s="31">
        <f t="shared" si="28"/>
        <v>0</v>
      </c>
      <c r="AD32" s="31">
        <f t="shared" si="28"/>
        <v>0</v>
      </c>
      <c r="AE32" s="31">
        <f t="shared" si="28"/>
        <v>0</v>
      </c>
      <c r="AF32" s="31">
        <f t="shared" si="28"/>
        <v>0</v>
      </c>
      <c r="AG32" s="31">
        <f t="shared" si="28"/>
        <v>0</v>
      </c>
      <c r="AH32" s="31">
        <f t="shared" si="28"/>
        <v>0</v>
      </c>
      <c r="AI32" s="31">
        <f t="shared" si="28"/>
        <v>0</v>
      </c>
      <c r="AJ32" s="31">
        <f t="shared" si="28"/>
        <v>0</v>
      </c>
      <c r="AK32" s="31">
        <f t="shared" si="28"/>
        <v>0</v>
      </c>
      <c r="AL32" s="31">
        <f t="shared" si="28"/>
        <v>0</v>
      </c>
      <c r="AM32" s="31">
        <f t="shared" si="28"/>
        <v>0</v>
      </c>
      <c r="AN32" s="31">
        <f t="shared" si="28"/>
        <v>0</v>
      </c>
      <c r="AO32" s="31">
        <f t="shared" si="28"/>
        <v>0</v>
      </c>
      <c r="AP32" s="31">
        <f t="shared" si="28"/>
        <v>0</v>
      </c>
      <c r="AQ32" s="31">
        <f t="shared" si="28"/>
        <v>0</v>
      </c>
      <c r="AR32" s="31">
        <f t="shared" si="28"/>
        <v>0</v>
      </c>
      <c r="AS32" s="31">
        <f t="shared" si="28"/>
        <v>0</v>
      </c>
      <c r="AT32" s="31">
        <f t="shared" si="28"/>
        <v>0</v>
      </c>
      <c r="AU32" s="31">
        <f t="shared" si="28"/>
        <v>0</v>
      </c>
      <c r="AV32" s="31">
        <f t="shared" si="28"/>
        <v>0</v>
      </c>
      <c r="AW32" s="31">
        <f t="shared" si="28"/>
        <v>0</v>
      </c>
      <c r="AX32" s="31">
        <f t="shared" si="28"/>
        <v>0</v>
      </c>
      <c r="AY32" s="31">
        <f t="shared" si="28"/>
        <v>0</v>
      </c>
      <c r="AZ32" s="31">
        <f t="shared" si="28"/>
        <v>0</v>
      </c>
    </row>
    <row r="33" spans="2:52" ht="15">
      <c r="B33" s="24"/>
      <c r="C33" s="25" t="s">
        <v>9</v>
      </c>
      <c r="D33" s="25" t="s">
        <v>67</v>
      </c>
      <c r="E33" s="266">
        <f>'Green+Social Interface'!$J$22*'Green+Social Interface'!$I$22</f>
        <v>0</v>
      </c>
      <c r="F33" s="317">
        <f>$D$87</f>
        <v>17.81628732043309</v>
      </c>
      <c r="G33" t="s">
        <v>512</v>
      </c>
      <c r="H33" s="21">
        <f>'Green+Social Interface'!$O$6</f>
        <v>0.07</v>
      </c>
      <c r="I33" s="22"/>
      <c r="J33" s="168">
        <f t="shared" si="25"/>
        <v>0</v>
      </c>
      <c r="K33" s="270">
        <f t="shared" si="29"/>
        <v>0</v>
      </c>
      <c r="L33" s="271">
        <f t="shared" si="30"/>
        <v>0</v>
      </c>
      <c r="M33" s="31">
        <f t="shared" si="31"/>
        <v>0</v>
      </c>
      <c r="N33" s="31">
        <f t="shared" si="32"/>
        <v>0</v>
      </c>
      <c r="O33" s="31">
        <f t="shared" si="28"/>
        <v>0</v>
      </c>
      <c r="P33" s="31">
        <f t="shared" si="28"/>
        <v>0</v>
      </c>
      <c r="Q33" s="31">
        <f t="shared" si="28"/>
        <v>0</v>
      </c>
      <c r="R33" s="31">
        <f t="shared" si="28"/>
        <v>0</v>
      </c>
      <c r="S33" s="31">
        <f t="shared" si="28"/>
        <v>0</v>
      </c>
      <c r="T33" s="31">
        <f t="shared" si="28"/>
        <v>0</v>
      </c>
      <c r="U33" s="31">
        <f t="shared" si="28"/>
        <v>0</v>
      </c>
      <c r="V33" s="31">
        <f t="shared" si="28"/>
        <v>0</v>
      </c>
      <c r="W33" s="31">
        <f t="shared" si="28"/>
        <v>0</v>
      </c>
      <c r="X33" s="31">
        <f t="shared" si="28"/>
        <v>0</v>
      </c>
      <c r="Y33" s="31">
        <f t="shared" si="28"/>
        <v>0</v>
      </c>
      <c r="Z33" s="31">
        <f t="shared" si="28"/>
        <v>0</v>
      </c>
      <c r="AA33" s="31">
        <f t="shared" si="28"/>
        <v>0</v>
      </c>
      <c r="AB33" s="31">
        <f t="shared" si="28"/>
        <v>0</v>
      </c>
      <c r="AC33" s="31">
        <f t="shared" si="28"/>
        <v>0</v>
      </c>
      <c r="AD33" s="31">
        <f t="shared" si="28"/>
        <v>0</v>
      </c>
      <c r="AE33" s="31">
        <f t="shared" si="28"/>
        <v>0</v>
      </c>
      <c r="AF33" s="31">
        <f t="shared" si="28"/>
        <v>0</v>
      </c>
      <c r="AG33" s="31">
        <f t="shared" si="28"/>
        <v>0</v>
      </c>
      <c r="AH33" s="31">
        <f t="shared" si="28"/>
        <v>0</v>
      </c>
      <c r="AI33" s="31">
        <f t="shared" si="28"/>
        <v>0</v>
      </c>
      <c r="AJ33" s="31">
        <f t="shared" si="28"/>
        <v>0</v>
      </c>
      <c r="AK33" s="31">
        <f t="shared" si="28"/>
        <v>0</v>
      </c>
      <c r="AL33" s="31">
        <f t="shared" si="28"/>
        <v>0</v>
      </c>
      <c r="AM33" s="31">
        <f t="shared" si="28"/>
        <v>0</v>
      </c>
      <c r="AN33" s="31">
        <f t="shared" si="28"/>
        <v>0</v>
      </c>
      <c r="AO33" s="31">
        <f t="shared" si="28"/>
        <v>0</v>
      </c>
      <c r="AP33" s="31">
        <f t="shared" si="28"/>
        <v>0</v>
      </c>
      <c r="AQ33" s="31">
        <f t="shared" si="28"/>
        <v>0</v>
      </c>
      <c r="AR33" s="31">
        <f t="shared" si="28"/>
        <v>0</v>
      </c>
      <c r="AS33" s="31">
        <f t="shared" si="28"/>
        <v>0</v>
      </c>
      <c r="AT33" s="31">
        <f t="shared" si="28"/>
        <v>0</v>
      </c>
      <c r="AU33" s="31">
        <f t="shared" si="28"/>
        <v>0</v>
      </c>
      <c r="AV33" s="31">
        <f t="shared" si="28"/>
        <v>0</v>
      </c>
      <c r="AW33" s="31">
        <f t="shared" si="28"/>
        <v>0</v>
      </c>
      <c r="AX33" s="31">
        <f t="shared" si="28"/>
        <v>0</v>
      </c>
      <c r="AY33" s="31">
        <f t="shared" si="28"/>
        <v>0</v>
      </c>
      <c r="AZ33" s="31">
        <f t="shared" si="28"/>
        <v>0</v>
      </c>
    </row>
    <row r="34" spans="2:52" ht="15">
      <c r="B34" s="24" t="s">
        <v>136</v>
      </c>
      <c r="C34" s="25" t="s">
        <v>6</v>
      </c>
      <c r="D34" s="25" t="s">
        <v>67</v>
      </c>
      <c r="E34" s="267">
        <f>'Green+Social Interface'!$D$18*'Green+Social Interface'!$E$18</f>
        <v>0</v>
      </c>
      <c r="F34" s="317">
        <f>$D$82</f>
        <v>17.81628732043309</v>
      </c>
      <c r="G34" t="s">
        <v>512</v>
      </c>
      <c r="H34" s="21">
        <f>'Green+Social Interface'!$O$6</f>
        <v>0.07</v>
      </c>
      <c r="I34" s="22"/>
      <c r="J34" s="168">
        <f t="shared" si="25"/>
        <v>0</v>
      </c>
      <c r="K34" s="270">
        <f t="shared" si="29"/>
        <v>0</v>
      </c>
      <c r="L34" s="271">
        <f t="shared" si="30"/>
        <v>0</v>
      </c>
      <c r="M34" s="31">
        <f t="shared" si="31"/>
        <v>0</v>
      </c>
      <c r="N34" s="31">
        <f t="shared" si="32"/>
        <v>0</v>
      </c>
      <c r="O34" s="31">
        <f t="shared" si="28"/>
        <v>0</v>
      </c>
      <c r="P34" s="31">
        <f t="shared" si="28"/>
        <v>0</v>
      </c>
      <c r="Q34" s="31">
        <f t="shared" si="28"/>
        <v>0</v>
      </c>
      <c r="R34" s="31">
        <f t="shared" si="28"/>
        <v>0</v>
      </c>
      <c r="S34" s="31">
        <f t="shared" si="28"/>
        <v>0</v>
      </c>
      <c r="T34" s="31">
        <f t="shared" si="28"/>
        <v>0</v>
      </c>
      <c r="U34" s="31">
        <f t="shared" si="28"/>
        <v>0</v>
      </c>
      <c r="V34" s="31">
        <f t="shared" si="28"/>
        <v>0</v>
      </c>
      <c r="W34" s="31">
        <f t="shared" si="28"/>
        <v>0</v>
      </c>
      <c r="X34" s="31">
        <f t="shared" si="28"/>
        <v>0</v>
      </c>
      <c r="Y34" s="31">
        <f t="shared" si="28"/>
        <v>0</v>
      </c>
      <c r="Z34" s="31">
        <f t="shared" si="28"/>
        <v>0</v>
      </c>
      <c r="AA34" s="31">
        <f t="shared" si="28"/>
        <v>0</v>
      </c>
      <c r="AB34" s="31">
        <f t="shared" si="28"/>
        <v>0</v>
      </c>
      <c r="AC34" s="31">
        <f t="shared" si="28"/>
        <v>0</v>
      </c>
      <c r="AD34" s="31">
        <f t="shared" si="28"/>
        <v>0</v>
      </c>
      <c r="AE34" s="31">
        <f t="shared" si="28"/>
        <v>0</v>
      </c>
      <c r="AF34" s="31">
        <f t="shared" si="28"/>
        <v>0</v>
      </c>
      <c r="AG34" s="31">
        <f t="shared" si="28"/>
        <v>0</v>
      </c>
      <c r="AH34" s="31">
        <f t="shared" si="28"/>
        <v>0</v>
      </c>
      <c r="AI34" s="31">
        <f t="shared" si="28"/>
        <v>0</v>
      </c>
      <c r="AJ34" s="31">
        <f t="shared" si="28"/>
        <v>0</v>
      </c>
      <c r="AK34" s="31">
        <f t="shared" si="28"/>
        <v>0</v>
      </c>
      <c r="AL34" s="31">
        <f t="shared" si="28"/>
        <v>0</v>
      </c>
      <c r="AM34" s="31">
        <f t="shared" si="28"/>
        <v>0</v>
      </c>
      <c r="AN34" s="31">
        <f t="shared" si="28"/>
        <v>0</v>
      </c>
      <c r="AO34" s="31">
        <f t="shared" si="28"/>
        <v>0</v>
      </c>
      <c r="AP34" s="31">
        <f t="shared" si="28"/>
        <v>0</v>
      </c>
      <c r="AQ34" s="31">
        <f t="shared" si="28"/>
        <v>0</v>
      </c>
      <c r="AR34" s="31">
        <f t="shared" si="28"/>
        <v>0</v>
      </c>
      <c r="AS34" s="31">
        <f t="shared" si="28"/>
        <v>0</v>
      </c>
      <c r="AT34" s="31">
        <f t="shared" si="28"/>
        <v>0</v>
      </c>
      <c r="AU34" s="31">
        <f t="shared" si="28"/>
        <v>0</v>
      </c>
      <c r="AV34" s="31">
        <f t="shared" si="28"/>
        <v>0</v>
      </c>
      <c r="AW34" s="31">
        <f t="shared" si="28"/>
        <v>0</v>
      </c>
      <c r="AX34" s="31">
        <f t="shared" si="28"/>
        <v>0</v>
      </c>
      <c r="AY34" s="31">
        <f t="shared" si="28"/>
        <v>0</v>
      </c>
      <c r="AZ34" s="31">
        <f t="shared" si="28"/>
        <v>0</v>
      </c>
    </row>
    <row r="35" spans="2:52" ht="15">
      <c r="B35" s="24"/>
      <c r="C35" s="25" t="s">
        <v>7</v>
      </c>
      <c r="D35" s="25" t="s">
        <v>67</v>
      </c>
      <c r="E35" s="267">
        <f>'Green+Social Interface'!$D$19*'Green+Social Interface'!$E$19</f>
        <v>0</v>
      </c>
      <c r="F35" s="317">
        <f>$D$82</f>
        <v>17.81628732043309</v>
      </c>
      <c r="G35" t="s">
        <v>512</v>
      </c>
      <c r="H35" s="21">
        <f>'Green+Social Interface'!$O$6</f>
        <v>0.07</v>
      </c>
      <c r="I35" s="22"/>
      <c r="J35" s="168">
        <f t="shared" si="25"/>
        <v>0</v>
      </c>
      <c r="K35" s="270">
        <f t="shared" si="29"/>
        <v>0</v>
      </c>
      <c r="L35" s="271">
        <f t="shared" si="30"/>
        <v>0</v>
      </c>
      <c r="M35" s="31">
        <f t="shared" si="31"/>
        <v>0</v>
      </c>
      <c r="N35" s="31">
        <f t="shared" si="32"/>
        <v>0</v>
      </c>
      <c r="O35" s="31">
        <f t="shared" si="28"/>
        <v>0</v>
      </c>
      <c r="P35" s="31">
        <f t="shared" si="28"/>
        <v>0</v>
      </c>
      <c r="Q35" s="31">
        <f t="shared" si="28"/>
        <v>0</v>
      </c>
      <c r="R35" s="31">
        <f t="shared" si="28"/>
        <v>0</v>
      </c>
      <c r="S35" s="31">
        <f t="shared" si="28"/>
        <v>0</v>
      </c>
      <c r="T35" s="31">
        <f t="shared" si="28"/>
        <v>0</v>
      </c>
      <c r="U35" s="31">
        <f t="shared" si="28"/>
        <v>0</v>
      </c>
      <c r="V35" s="31">
        <f t="shared" si="28"/>
        <v>0</v>
      </c>
      <c r="W35" s="31">
        <f t="shared" si="28"/>
        <v>0</v>
      </c>
      <c r="X35" s="31">
        <f t="shared" si="28"/>
        <v>0</v>
      </c>
      <c r="Y35" s="31">
        <f t="shared" si="28"/>
        <v>0</v>
      </c>
      <c r="Z35" s="31">
        <f t="shared" si="28"/>
        <v>0</v>
      </c>
      <c r="AA35" s="31">
        <f t="shared" si="28"/>
        <v>0</v>
      </c>
      <c r="AB35" s="31">
        <f t="shared" si="28"/>
        <v>0</v>
      </c>
      <c r="AC35" s="31">
        <f t="shared" si="28"/>
        <v>0</v>
      </c>
      <c r="AD35" s="31">
        <f t="shared" si="28"/>
        <v>0</v>
      </c>
      <c r="AE35" s="31">
        <f t="shared" si="28"/>
        <v>0</v>
      </c>
      <c r="AF35" s="31">
        <f t="shared" si="28"/>
        <v>0</v>
      </c>
      <c r="AG35" s="31">
        <f t="shared" si="28"/>
        <v>0</v>
      </c>
      <c r="AH35" s="31">
        <f t="shared" si="28"/>
        <v>0</v>
      </c>
      <c r="AI35" s="31">
        <f t="shared" si="28"/>
        <v>0</v>
      </c>
      <c r="AJ35" s="31">
        <f t="shared" si="28"/>
        <v>0</v>
      </c>
      <c r="AK35" s="31">
        <f t="shared" si="28"/>
        <v>0</v>
      </c>
      <c r="AL35" s="31">
        <f t="shared" si="28"/>
        <v>0</v>
      </c>
      <c r="AM35" s="31">
        <f t="shared" si="28"/>
        <v>0</v>
      </c>
      <c r="AN35" s="31">
        <f t="shared" si="28"/>
        <v>0</v>
      </c>
      <c r="AO35" s="31">
        <f t="shared" si="28"/>
        <v>0</v>
      </c>
      <c r="AP35" s="31">
        <f t="shared" si="28"/>
        <v>0</v>
      </c>
      <c r="AQ35" s="31">
        <f t="shared" si="28"/>
        <v>0</v>
      </c>
      <c r="AR35" s="31">
        <f t="shared" si="28"/>
        <v>0</v>
      </c>
      <c r="AS35" s="31">
        <f t="shared" si="28"/>
        <v>0</v>
      </c>
      <c r="AT35" s="31">
        <f t="shared" si="28"/>
        <v>0</v>
      </c>
      <c r="AU35" s="31">
        <f t="shared" si="28"/>
        <v>0</v>
      </c>
      <c r="AV35" s="31">
        <f t="shared" si="28"/>
        <v>0</v>
      </c>
      <c r="AW35" s="31">
        <f t="shared" si="28"/>
        <v>0</v>
      </c>
      <c r="AX35" s="31">
        <f t="shared" si="28"/>
        <v>0</v>
      </c>
      <c r="AY35" s="31">
        <f t="shared" si="28"/>
        <v>0</v>
      </c>
      <c r="AZ35" s="31">
        <f t="shared" si="28"/>
        <v>0</v>
      </c>
    </row>
    <row r="36" spans="2:52" ht="15">
      <c r="B36" s="24"/>
      <c r="C36" s="25" t="s">
        <v>8</v>
      </c>
      <c r="D36" s="25" t="s">
        <v>67</v>
      </c>
      <c r="E36" s="267">
        <f>'Green+Social Interface'!$D$20*'Green+Social Interface'!$E$20</f>
        <v>0</v>
      </c>
      <c r="F36" s="317">
        <f>$D$82</f>
        <v>17.81628732043309</v>
      </c>
      <c r="G36" t="s">
        <v>512</v>
      </c>
      <c r="H36" s="21">
        <f>'Green+Social Interface'!$O$6</f>
        <v>0.07</v>
      </c>
      <c r="I36" s="22"/>
      <c r="J36" s="168">
        <f t="shared" si="25"/>
        <v>0</v>
      </c>
      <c r="K36" s="270">
        <f t="shared" si="29"/>
        <v>0</v>
      </c>
      <c r="L36" s="271">
        <f t="shared" si="30"/>
        <v>0</v>
      </c>
      <c r="M36" s="31">
        <f t="shared" si="31"/>
        <v>0</v>
      </c>
      <c r="N36" s="31">
        <f t="shared" si="32"/>
        <v>0</v>
      </c>
      <c r="O36" s="31">
        <f t="shared" si="28"/>
        <v>0</v>
      </c>
      <c r="P36" s="31">
        <f t="shared" si="28"/>
        <v>0</v>
      </c>
      <c r="Q36" s="31">
        <f t="shared" si="28"/>
        <v>0</v>
      </c>
      <c r="R36" s="31">
        <f t="shared" si="28"/>
        <v>0</v>
      </c>
      <c r="S36" s="31">
        <f aca="true" t="shared" si="33" ref="O36:AZ42">R36</f>
        <v>0</v>
      </c>
      <c r="T36" s="31">
        <f t="shared" si="33"/>
        <v>0</v>
      </c>
      <c r="U36" s="31">
        <f t="shared" si="33"/>
        <v>0</v>
      </c>
      <c r="V36" s="31">
        <f t="shared" si="33"/>
        <v>0</v>
      </c>
      <c r="W36" s="31">
        <f t="shared" si="33"/>
        <v>0</v>
      </c>
      <c r="X36" s="31">
        <f t="shared" si="33"/>
        <v>0</v>
      </c>
      <c r="Y36" s="31">
        <f t="shared" si="33"/>
        <v>0</v>
      </c>
      <c r="Z36" s="31">
        <f t="shared" si="33"/>
        <v>0</v>
      </c>
      <c r="AA36" s="31">
        <f t="shared" si="33"/>
        <v>0</v>
      </c>
      <c r="AB36" s="31">
        <f t="shared" si="33"/>
        <v>0</v>
      </c>
      <c r="AC36" s="31">
        <f t="shared" si="33"/>
        <v>0</v>
      </c>
      <c r="AD36" s="31">
        <f t="shared" si="33"/>
        <v>0</v>
      </c>
      <c r="AE36" s="31">
        <f t="shared" si="33"/>
        <v>0</v>
      </c>
      <c r="AF36" s="31">
        <f t="shared" si="33"/>
        <v>0</v>
      </c>
      <c r="AG36" s="31">
        <f t="shared" si="33"/>
        <v>0</v>
      </c>
      <c r="AH36" s="31">
        <f t="shared" si="33"/>
        <v>0</v>
      </c>
      <c r="AI36" s="31">
        <f t="shared" si="33"/>
        <v>0</v>
      </c>
      <c r="AJ36" s="31">
        <f t="shared" si="33"/>
        <v>0</v>
      </c>
      <c r="AK36" s="31">
        <f t="shared" si="33"/>
        <v>0</v>
      </c>
      <c r="AL36" s="31">
        <f t="shared" si="33"/>
        <v>0</v>
      </c>
      <c r="AM36" s="31">
        <f t="shared" si="33"/>
        <v>0</v>
      </c>
      <c r="AN36" s="31">
        <f t="shared" si="33"/>
        <v>0</v>
      </c>
      <c r="AO36" s="31">
        <f t="shared" si="33"/>
        <v>0</v>
      </c>
      <c r="AP36" s="31">
        <f t="shared" si="33"/>
        <v>0</v>
      </c>
      <c r="AQ36" s="31">
        <f t="shared" si="33"/>
        <v>0</v>
      </c>
      <c r="AR36" s="31">
        <f t="shared" si="33"/>
        <v>0</v>
      </c>
      <c r="AS36" s="31">
        <f t="shared" si="33"/>
        <v>0</v>
      </c>
      <c r="AT36" s="31">
        <f t="shared" si="33"/>
        <v>0</v>
      </c>
      <c r="AU36" s="31">
        <f t="shared" si="33"/>
        <v>0</v>
      </c>
      <c r="AV36" s="31">
        <f t="shared" si="33"/>
        <v>0</v>
      </c>
      <c r="AW36" s="31">
        <f t="shared" si="33"/>
        <v>0</v>
      </c>
      <c r="AX36" s="31">
        <f t="shared" si="33"/>
        <v>0</v>
      </c>
      <c r="AY36" s="31">
        <f t="shared" si="33"/>
        <v>0</v>
      </c>
      <c r="AZ36" s="31">
        <f t="shared" si="33"/>
        <v>0</v>
      </c>
    </row>
    <row r="37" spans="2:52" ht="15">
      <c r="B37" s="24"/>
      <c r="C37" s="25" t="s">
        <v>9</v>
      </c>
      <c r="D37" s="25" t="s">
        <v>67</v>
      </c>
      <c r="E37" s="267">
        <f>'Green+Social Interface'!$D$21*'Green+Social Interface'!$E$21</f>
        <v>0</v>
      </c>
      <c r="F37" s="317">
        <f>$D$82</f>
        <v>17.81628732043309</v>
      </c>
      <c r="G37" t="s">
        <v>512</v>
      </c>
      <c r="H37" s="21">
        <f>'Green+Social Interface'!$O$6</f>
        <v>0.07</v>
      </c>
      <c r="I37" s="22"/>
      <c r="J37" s="168">
        <f t="shared" si="25"/>
        <v>0</v>
      </c>
      <c r="K37" s="270">
        <f t="shared" si="29"/>
        <v>0</v>
      </c>
      <c r="L37" s="271">
        <f t="shared" si="30"/>
        <v>0</v>
      </c>
      <c r="M37" s="31">
        <f t="shared" si="31"/>
        <v>0</v>
      </c>
      <c r="N37" s="31">
        <f t="shared" si="32"/>
        <v>0</v>
      </c>
      <c r="O37" s="31">
        <f t="shared" si="33"/>
        <v>0</v>
      </c>
      <c r="P37" s="31">
        <f t="shared" si="33"/>
        <v>0</v>
      </c>
      <c r="Q37" s="31">
        <f t="shared" si="33"/>
        <v>0</v>
      </c>
      <c r="R37" s="31">
        <f t="shared" si="33"/>
        <v>0</v>
      </c>
      <c r="S37" s="31">
        <f t="shared" si="33"/>
        <v>0</v>
      </c>
      <c r="T37" s="31">
        <f t="shared" si="33"/>
        <v>0</v>
      </c>
      <c r="U37" s="31">
        <f t="shared" si="33"/>
        <v>0</v>
      </c>
      <c r="V37" s="31">
        <f t="shared" si="33"/>
        <v>0</v>
      </c>
      <c r="W37" s="31">
        <f t="shared" si="33"/>
        <v>0</v>
      </c>
      <c r="X37" s="31">
        <f t="shared" si="33"/>
        <v>0</v>
      </c>
      <c r="Y37" s="31">
        <f t="shared" si="33"/>
        <v>0</v>
      </c>
      <c r="Z37" s="31">
        <f t="shared" si="33"/>
        <v>0</v>
      </c>
      <c r="AA37" s="31">
        <f t="shared" si="33"/>
        <v>0</v>
      </c>
      <c r="AB37" s="31">
        <f t="shared" si="33"/>
        <v>0</v>
      </c>
      <c r="AC37" s="31">
        <f t="shared" si="33"/>
        <v>0</v>
      </c>
      <c r="AD37" s="31">
        <f t="shared" si="33"/>
        <v>0</v>
      </c>
      <c r="AE37" s="31">
        <f t="shared" si="33"/>
        <v>0</v>
      </c>
      <c r="AF37" s="31">
        <f t="shared" si="33"/>
        <v>0</v>
      </c>
      <c r="AG37" s="31">
        <f t="shared" si="33"/>
        <v>0</v>
      </c>
      <c r="AH37" s="31">
        <f t="shared" si="33"/>
        <v>0</v>
      </c>
      <c r="AI37" s="31">
        <f t="shared" si="33"/>
        <v>0</v>
      </c>
      <c r="AJ37" s="31">
        <f t="shared" si="33"/>
        <v>0</v>
      </c>
      <c r="AK37" s="31">
        <f t="shared" si="33"/>
        <v>0</v>
      </c>
      <c r="AL37" s="31">
        <f t="shared" si="33"/>
        <v>0</v>
      </c>
      <c r="AM37" s="31">
        <f t="shared" si="33"/>
        <v>0</v>
      </c>
      <c r="AN37" s="31">
        <f t="shared" si="33"/>
        <v>0</v>
      </c>
      <c r="AO37" s="31">
        <f t="shared" si="33"/>
        <v>0</v>
      </c>
      <c r="AP37" s="31">
        <f t="shared" si="33"/>
        <v>0</v>
      </c>
      <c r="AQ37" s="31">
        <f t="shared" si="33"/>
        <v>0</v>
      </c>
      <c r="AR37" s="31">
        <f t="shared" si="33"/>
        <v>0</v>
      </c>
      <c r="AS37" s="31">
        <f t="shared" si="33"/>
        <v>0</v>
      </c>
      <c r="AT37" s="31">
        <f t="shared" si="33"/>
        <v>0</v>
      </c>
      <c r="AU37" s="31">
        <f t="shared" si="33"/>
        <v>0</v>
      </c>
      <c r="AV37" s="31">
        <f t="shared" si="33"/>
        <v>0</v>
      </c>
      <c r="AW37" s="31">
        <f t="shared" si="33"/>
        <v>0</v>
      </c>
      <c r="AX37" s="31">
        <f t="shared" si="33"/>
        <v>0</v>
      </c>
      <c r="AY37" s="31">
        <f t="shared" si="33"/>
        <v>0</v>
      </c>
      <c r="AZ37" s="31">
        <f t="shared" si="33"/>
        <v>0</v>
      </c>
    </row>
    <row r="38" spans="2:52" ht="15">
      <c r="B38" s="24"/>
      <c r="C38" s="25" t="s">
        <v>11</v>
      </c>
      <c r="D38" s="25" t="s">
        <v>67</v>
      </c>
      <c r="E38" s="267">
        <f>'Green+Social Interface'!$D$22*'Green+Social Interface'!$E$22</f>
        <v>0</v>
      </c>
      <c r="F38" s="317">
        <f>$D$82</f>
        <v>17.81628732043309</v>
      </c>
      <c r="G38" t="s">
        <v>512</v>
      </c>
      <c r="H38" s="21">
        <f>'Green+Social Interface'!$O$6</f>
        <v>0.07</v>
      </c>
      <c r="I38" s="22"/>
      <c r="J38" s="168">
        <f t="shared" si="25"/>
        <v>0</v>
      </c>
      <c r="K38" s="270">
        <f t="shared" si="29"/>
        <v>0</v>
      </c>
      <c r="L38" s="271">
        <f t="shared" si="30"/>
        <v>0</v>
      </c>
      <c r="M38" s="31">
        <f t="shared" si="31"/>
        <v>0</v>
      </c>
      <c r="N38" s="31">
        <f t="shared" si="32"/>
        <v>0</v>
      </c>
      <c r="O38" s="31">
        <f t="shared" si="33"/>
        <v>0</v>
      </c>
      <c r="P38" s="31">
        <f t="shared" si="33"/>
        <v>0</v>
      </c>
      <c r="Q38" s="31">
        <f t="shared" si="33"/>
        <v>0</v>
      </c>
      <c r="R38" s="31">
        <f t="shared" si="33"/>
        <v>0</v>
      </c>
      <c r="S38" s="31">
        <f t="shared" si="33"/>
        <v>0</v>
      </c>
      <c r="T38" s="31">
        <f t="shared" si="33"/>
        <v>0</v>
      </c>
      <c r="U38" s="31">
        <f t="shared" si="33"/>
        <v>0</v>
      </c>
      <c r="V38" s="31">
        <f t="shared" si="33"/>
        <v>0</v>
      </c>
      <c r="W38" s="31">
        <f t="shared" si="33"/>
        <v>0</v>
      </c>
      <c r="X38" s="31">
        <f t="shared" si="33"/>
        <v>0</v>
      </c>
      <c r="Y38" s="31">
        <f t="shared" si="33"/>
        <v>0</v>
      </c>
      <c r="Z38" s="31">
        <f t="shared" si="33"/>
        <v>0</v>
      </c>
      <c r="AA38" s="31">
        <f t="shared" si="33"/>
        <v>0</v>
      </c>
      <c r="AB38" s="31">
        <f t="shared" si="33"/>
        <v>0</v>
      </c>
      <c r="AC38" s="31">
        <f t="shared" si="33"/>
        <v>0</v>
      </c>
      <c r="AD38" s="31">
        <f t="shared" si="33"/>
        <v>0</v>
      </c>
      <c r="AE38" s="31">
        <f t="shared" si="33"/>
        <v>0</v>
      </c>
      <c r="AF38" s="31">
        <f t="shared" si="33"/>
        <v>0</v>
      </c>
      <c r="AG38" s="31">
        <f t="shared" si="33"/>
        <v>0</v>
      </c>
      <c r="AH38" s="31">
        <f t="shared" si="33"/>
        <v>0</v>
      </c>
      <c r="AI38" s="31">
        <f t="shared" si="33"/>
        <v>0</v>
      </c>
      <c r="AJ38" s="31">
        <f t="shared" si="33"/>
        <v>0</v>
      </c>
      <c r="AK38" s="31">
        <f t="shared" si="33"/>
        <v>0</v>
      </c>
      <c r="AL38" s="31">
        <f t="shared" si="33"/>
        <v>0</v>
      </c>
      <c r="AM38" s="31">
        <f t="shared" si="33"/>
        <v>0</v>
      </c>
      <c r="AN38" s="31">
        <f t="shared" si="33"/>
        <v>0</v>
      </c>
      <c r="AO38" s="31">
        <f t="shared" si="33"/>
        <v>0</v>
      </c>
      <c r="AP38" s="31">
        <f t="shared" si="33"/>
        <v>0</v>
      </c>
      <c r="AQ38" s="31">
        <f t="shared" si="33"/>
        <v>0</v>
      </c>
      <c r="AR38" s="31">
        <f t="shared" si="33"/>
        <v>0</v>
      </c>
      <c r="AS38" s="31">
        <f t="shared" si="33"/>
        <v>0</v>
      </c>
      <c r="AT38" s="31">
        <f t="shared" si="33"/>
        <v>0</v>
      </c>
      <c r="AU38" s="31">
        <f t="shared" si="33"/>
        <v>0</v>
      </c>
      <c r="AV38" s="31">
        <f t="shared" si="33"/>
        <v>0</v>
      </c>
      <c r="AW38" s="31">
        <f t="shared" si="33"/>
        <v>0</v>
      </c>
      <c r="AX38" s="31">
        <f t="shared" si="33"/>
        <v>0</v>
      </c>
      <c r="AY38" s="31">
        <f t="shared" si="33"/>
        <v>0</v>
      </c>
      <c r="AZ38" s="31">
        <f t="shared" si="33"/>
        <v>0</v>
      </c>
    </row>
    <row r="39" spans="2:52" ht="15">
      <c r="B39" s="24" t="s">
        <v>5</v>
      </c>
      <c r="C39" s="29" t="s">
        <v>10</v>
      </c>
      <c r="D39" s="25" t="s">
        <v>67</v>
      </c>
      <c r="E39" s="267">
        <f>'Green+Social Interface'!$T$18*'Green+Social Interface'!$U$18</f>
        <v>0</v>
      </c>
      <c r="F39" s="317">
        <f>$D$97</f>
        <v>17.81628732043309</v>
      </c>
      <c r="G39" t="s">
        <v>512</v>
      </c>
      <c r="H39" s="21">
        <f>'Green+Social Interface'!$O$6</f>
        <v>0.07</v>
      </c>
      <c r="I39" s="22"/>
      <c r="J39" s="168">
        <f t="shared" si="25"/>
        <v>0</v>
      </c>
      <c r="K39" s="270">
        <f t="shared" si="29"/>
        <v>0</v>
      </c>
      <c r="L39" s="271">
        <f t="shared" si="30"/>
        <v>0</v>
      </c>
      <c r="M39" s="31">
        <f t="shared" si="31"/>
        <v>0</v>
      </c>
      <c r="N39" s="31">
        <f t="shared" si="32"/>
        <v>0</v>
      </c>
      <c r="O39" s="31">
        <f t="shared" si="33"/>
        <v>0</v>
      </c>
      <c r="P39" s="31">
        <f t="shared" si="33"/>
        <v>0</v>
      </c>
      <c r="Q39" s="31">
        <f t="shared" si="33"/>
        <v>0</v>
      </c>
      <c r="R39" s="31">
        <f t="shared" si="33"/>
        <v>0</v>
      </c>
      <c r="S39" s="31">
        <f t="shared" si="33"/>
        <v>0</v>
      </c>
      <c r="T39" s="31">
        <f t="shared" si="33"/>
        <v>0</v>
      </c>
      <c r="U39" s="31">
        <f t="shared" si="33"/>
        <v>0</v>
      </c>
      <c r="V39" s="31">
        <f t="shared" si="33"/>
        <v>0</v>
      </c>
      <c r="W39" s="31">
        <f t="shared" si="33"/>
        <v>0</v>
      </c>
      <c r="X39" s="31">
        <f t="shared" si="33"/>
        <v>0</v>
      </c>
      <c r="Y39" s="31">
        <f t="shared" si="33"/>
        <v>0</v>
      </c>
      <c r="Z39" s="31">
        <f t="shared" si="33"/>
        <v>0</v>
      </c>
      <c r="AA39" s="31">
        <f t="shared" si="33"/>
        <v>0</v>
      </c>
      <c r="AB39" s="31">
        <f t="shared" si="33"/>
        <v>0</v>
      </c>
      <c r="AC39" s="31">
        <f t="shared" si="33"/>
        <v>0</v>
      </c>
      <c r="AD39" s="31">
        <f t="shared" si="33"/>
        <v>0</v>
      </c>
      <c r="AE39" s="31">
        <f t="shared" si="33"/>
        <v>0</v>
      </c>
      <c r="AF39" s="31">
        <f t="shared" si="33"/>
        <v>0</v>
      </c>
      <c r="AG39" s="31">
        <f t="shared" si="33"/>
        <v>0</v>
      </c>
      <c r="AH39" s="31">
        <f t="shared" si="33"/>
        <v>0</v>
      </c>
      <c r="AI39" s="31">
        <f t="shared" si="33"/>
        <v>0</v>
      </c>
      <c r="AJ39" s="31">
        <f t="shared" si="33"/>
        <v>0</v>
      </c>
      <c r="AK39" s="31">
        <f t="shared" si="33"/>
        <v>0</v>
      </c>
      <c r="AL39" s="31">
        <f t="shared" si="33"/>
        <v>0</v>
      </c>
      <c r="AM39" s="31">
        <f t="shared" si="33"/>
        <v>0</v>
      </c>
      <c r="AN39" s="31">
        <f t="shared" si="33"/>
        <v>0</v>
      </c>
      <c r="AO39" s="31">
        <f t="shared" si="33"/>
        <v>0</v>
      </c>
      <c r="AP39" s="31">
        <f t="shared" si="33"/>
        <v>0</v>
      </c>
      <c r="AQ39" s="31">
        <f t="shared" si="33"/>
        <v>0</v>
      </c>
      <c r="AR39" s="31">
        <f t="shared" si="33"/>
        <v>0</v>
      </c>
      <c r="AS39" s="31">
        <f t="shared" si="33"/>
        <v>0</v>
      </c>
      <c r="AT39" s="31">
        <f t="shared" si="33"/>
        <v>0</v>
      </c>
      <c r="AU39" s="31">
        <f t="shared" si="33"/>
        <v>0</v>
      </c>
      <c r="AV39" s="31">
        <f t="shared" si="33"/>
        <v>0</v>
      </c>
      <c r="AW39" s="31">
        <f t="shared" si="33"/>
        <v>0</v>
      </c>
      <c r="AX39" s="31">
        <f t="shared" si="33"/>
        <v>0</v>
      </c>
      <c r="AY39" s="31">
        <f t="shared" si="33"/>
        <v>0</v>
      </c>
      <c r="AZ39" s="31">
        <f t="shared" si="33"/>
        <v>0</v>
      </c>
    </row>
    <row r="40" spans="2:52" ht="15">
      <c r="B40" s="24"/>
      <c r="C40" s="25" t="s">
        <v>6</v>
      </c>
      <c r="D40" s="25" t="s">
        <v>67</v>
      </c>
      <c r="E40" s="267">
        <f>'Green+Social Interface'!$T$19*'Green+Social Interface'!$U$19</f>
        <v>0</v>
      </c>
      <c r="F40" s="317">
        <f>$D$97</f>
        <v>17.81628732043309</v>
      </c>
      <c r="G40" t="s">
        <v>512</v>
      </c>
      <c r="H40" s="21">
        <f>'Green+Social Interface'!$O$6</f>
        <v>0.07</v>
      </c>
      <c r="I40" s="22"/>
      <c r="J40" s="168">
        <f t="shared" si="25"/>
        <v>0</v>
      </c>
      <c r="K40" s="270">
        <f t="shared" si="29"/>
        <v>0</v>
      </c>
      <c r="L40" s="271">
        <f t="shared" si="30"/>
        <v>0</v>
      </c>
      <c r="M40" s="31">
        <f t="shared" si="31"/>
        <v>0</v>
      </c>
      <c r="N40" s="31">
        <f t="shared" si="32"/>
        <v>0</v>
      </c>
      <c r="O40" s="31">
        <f t="shared" si="33"/>
        <v>0</v>
      </c>
      <c r="P40" s="31">
        <f t="shared" si="33"/>
        <v>0</v>
      </c>
      <c r="Q40" s="31">
        <f t="shared" si="33"/>
        <v>0</v>
      </c>
      <c r="R40" s="31">
        <f t="shared" si="33"/>
        <v>0</v>
      </c>
      <c r="S40" s="31">
        <f t="shared" si="33"/>
        <v>0</v>
      </c>
      <c r="T40" s="31">
        <f t="shared" si="33"/>
        <v>0</v>
      </c>
      <c r="U40" s="31">
        <f t="shared" si="33"/>
        <v>0</v>
      </c>
      <c r="V40" s="31">
        <f t="shared" si="33"/>
        <v>0</v>
      </c>
      <c r="W40" s="31">
        <f t="shared" si="33"/>
        <v>0</v>
      </c>
      <c r="X40" s="31">
        <f t="shared" si="33"/>
        <v>0</v>
      </c>
      <c r="Y40" s="31">
        <f t="shared" si="33"/>
        <v>0</v>
      </c>
      <c r="Z40" s="31">
        <f t="shared" si="33"/>
        <v>0</v>
      </c>
      <c r="AA40" s="31">
        <f t="shared" si="33"/>
        <v>0</v>
      </c>
      <c r="AB40" s="31">
        <f t="shared" si="33"/>
        <v>0</v>
      </c>
      <c r="AC40" s="31">
        <f t="shared" si="33"/>
        <v>0</v>
      </c>
      <c r="AD40" s="31">
        <f t="shared" si="33"/>
        <v>0</v>
      </c>
      <c r="AE40" s="31">
        <f t="shared" si="33"/>
        <v>0</v>
      </c>
      <c r="AF40" s="31">
        <f t="shared" si="33"/>
        <v>0</v>
      </c>
      <c r="AG40" s="31">
        <f t="shared" si="33"/>
        <v>0</v>
      </c>
      <c r="AH40" s="31">
        <f t="shared" si="33"/>
        <v>0</v>
      </c>
      <c r="AI40" s="31">
        <f t="shared" si="33"/>
        <v>0</v>
      </c>
      <c r="AJ40" s="31">
        <f t="shared" si="33"/>
        <v>0</v>
      </c>
      <c r="AK40" s="31">
        <f t="shared" si="33"/>
        <v>0</v>
      </c>
      <c r="AL40" s="31">
        <f t="shared" si="33"/>
        <v>0</v>
      </c>
      <c r="AM40" s="31">
        <f t="shared" si="33"/>
        <v>0</v>
      </c>
      <c r="AN40" s="31">
        <f t="shared" si="33"/>
        <v>0</v>
      </c>
      <c r="AO40" s="31">
        <f t="shared" si="33"/>
        <v>0</v>
      </c>
      <c r="AP40" s="31">
        <f t="shared" si="33"/>
        <v>0</v>
      </c>
      <c r="AQ40" s="31">
        <f t="shared" si="33"/>
        <v>0</v>
      </c>
      <c r="AR40" s="31">
        <f t="shared" si="33"/>
        <v>0</v>
      </c>
      <c r="AS40" s="31">
        <f t="shared" si="33"/>
        <v>0</v>
      </c>
      <c r="AT40" s="31">
        <f t="shared" si="33"/>
        <v>0</v>
      </c>
      <c r="AU40" s="31">
        <f t="shared" si="33"/>
        <v>0</v>
      </c>
      <c r="AV40" s="31">
        <f t="shared" si="33"/>
        <v>0</v>
      </c>
      <c r="AW40" s="31">
        <f t="shared" si="33"/>
        <v>0</v>
      </c>
      <c r="AX40" s="31">
        <f t="shared" si="33"/>
        <v>0</v>
      </c>
      <c r="AY40" s="31">
        <f t="shared" si="33"/>
        <v>0</v>
      </c>
      <c r="AZ40" s="31">
        <f t="shared" si="33"/>
        <v>0</v>
      </c>
    </row>
    <row r="41" spans="2:52" ht="15">
      <c r="B41" s="24"/>
      <c r="C41" s="25" t="s">
        <v>7</v>
      </c>
      <c r="D41" s="25" t="s">
        <v>67</v>
      </c>
      <c r="E41" s="267">
        <f>'Green+Social Interface'!$T$20*'Green+Social Interface'!$U$20</f>
        <v>0</v>
      </c>
      <c r="F41" s="317">
        <f>$D$97</f>
        <v>17.81628732043309</v>
      </c>
      <c r="G41" t="s">
        <v>512</v>
      </c>
      <c r="H41" s="21">
        <f>'Green+Social Interface'!$O$6</f>
        <v>0.07</v>
      </c>
      <c r="I41" s="22"/>
      <c r="J41" s="168">
        <f t="shared" si="25"/>
        <v>0</v>
      </c>
      <c r="K41" s="270">
        <f t="shared" si="29"/>
        <v>0</v>
      </c>
      <c r="L41" s="271">
        <f t="shared" si="30"/>
        <v>0</v>
      </c>
      <c r="M41" s="31">
        <f t="shared" si="31"/>
        <v>0</v>
      </c>
      <c r="N41" s="31">
        <f t="shared" si="32"/>
        <v>0</v>
      </c>
      <c r="O41" s="31">
        <f t="shared" si="33"/>
        <v>0</v>
      </c>
      <c r="P41" s="31">
        <f t="shared" si="33"/>
        <v>0</v>
      </c>
      <c r="Q41" s="31">
        <f t="shared" si="33"/>
        <v>0</v>
      </c>
      <c r="R41" s="31">
        <f t="shared" si="33"/>
        <v>0</v>
      </c>
      <c r="S41" s="31">
        <f t="shared" si="33"/>
        <v>0</v>
      </c>
      <c r="T41" s="31">
        <f t="shared" si="33"/>
        <v>0</v>
      </c>
      <c r="U41" s="31">
        <f t="shared" si="33"/>
        <v>0</v>
      </c>
      <c r="V41" s="31">
        <f t="shared" si="33"/>
        <v>0</v>
      </c>
      <c r="W41" s="31">
        <f t="shared" si="33"/>
        <v>0</v>
      </c>
      <c r="X41" s="31">
        <f t="shared" si="33"/>
        <v>0</v>
      </c>
      <c r="Y41" s="31">
        <f t="shared" si="33"/>
        <v>0</v>
      </c>
      <c r="Z41" s="31">
        <f t="shared" si="33"/>
        <v>0</v>
      </c>
      <c r="AA41" s="31">
        <f t="shared" si="33"/>
        <v>0</v>
      </c>
      <c r="AB41" s="31">
        <f t="shared" si="33"/>
        <v>0</v>
      </c>
      <c r="AC41" s="31">
        <f t="shared" si="33"/>
        <v>0</v>
      </c>
      <c r="AD41" s="31">
        <f t="shared" si="33"/>
        <v>0</v>
      </c>
      <c r="AE41" s="31">
        <f t="shared" si="33"/>
        <v>0</v>
      </c>
      <c r="AF41" s="31">
        <f t="shared" si="33"/>
        <v>0</v>
      </c>
      <c r="AG41" s="31">
        <f t="shared" si="33"/>
        <v>0</v>
      </c>
      <c r="AH41" s="31">
        <f t="shared" si="33"/>
        <v>0</v>
      </c>
      <c r="AI41" s="31">
        <f t="shared" si="33"/>
        <v>0</v>
      </c>
      <c r="AJ41" s="31">
        <f t="shared" si="33"/>
        <v>0</v>
      </c>
      <c r="AK41" s="31">
        <f t="shared" si="33"/>
        <v>0</v>
      </c>
      <c r="AL41" s="31">
        <f t="shared" si="33"/>
        <v>0</v>
      </c>
      <c r="AM41" s="31">
        <f t="shared" si="33"/>
        <v>0</v>
      </c>
      <c r="AN41" s="31">
        <f t="shared" si="33"/>
        <v>0</v>
      </c>
      <c r="AO41" s="31">
        <f t="shared" si="33"/>
        <v>0</v>
      </c>
      <c r="AP41" s="31">
        <f t="shared" si="33"/>
        <v>0</v>
      </c>
      <c r="AQ41" s="31">
        <f t="shared" si="33"/>
        <v>0</v>
      </c>
      <c r="AR41" s="31">
        <f t="shared" si="33"/>
        <v>0</v>
      </c>
      <c r="AS41" s="31">
        <f t="shared" si="33"/>
        <v>0</v>
      </c>
      <c r="AT41" s="31">
        <f t="shared" si="33"/>
        <v>0</v>
      </c>
      <c r="AU41" s="31">
        <f t="shared" si="33"/>
        <v>0</v>
      </c>
      <c r="AV41" s="31">
        <f t="shared" si="33"/>
        <v>0</v>
      </c>
      <c r="AW41" s="31">
        <f t="shared" si="33"/>
        <v>0</v>
      </c>
      <c r="AX41" s="31">
        <f t="shared" si="33"/>
        <v>0</v>
      </c>
      <c r="AY41" s="31">
        <f t="shared" si="33"/>
        <v>0</v>
      </c>
      <c r="AZ41" s="31">
        <f t="shared" si="33"/>
        <v>0</v>
      </c>
    </row>
    <row r="42" spans="2:52" ht="15">
      <c r="B42" s="24"/>
      <c r="C42" s="25" t="s">
        <v>8</v>
      </c>
      <c r="D42" s="25" t="s">
        <v>67</v>
      </c>
      <c r="E42" s="267">
        <f>'Green+Social Interface'!$T$21*'Green+Social Interface'!$U$21</f>
        <v>0</v>
      </c>
      <c r="F42" s="317">
        <f>$D$97</f>
        <v>17.81628732043309</v>
      </c>
      <c r="G42" t="s">
        <v>512</v>
      </c>
      <c r="H42" s="21">
        <f>'Green+Social Interface'!$O$6</f>
        <v>0.07</v>
      </c>
      <c r="I42" s="22"/>
      <c r="J42" s="168">
        <f t="shared" si="25"/>
        <v>0</v>
      </c>
      <c r="K42" s="270">
        <f t="shared" si="29"/>
        <v>0</v>
      </c>
      <c r="L42" s="271">
        <f t="shared" si="30"/>
        <v>0</v>
      </c>
      <c r="M42" s="31">
        <f t="shared" si="31"/>
        <v>0</v>
      </c>
      <c r="N42" s="31">
        <f t="shared" si="32"/>
        <v>0</v>
      </c>
      <c r="O42" s="31">
        <f t="shared" si="33"/>
        <v>0</v>
      </c>
      <c r="P42" s="31">
        <f t="shared" si="33"/>
        <v>0</v>
      </c>
      <c r="Q42" s="31">
        <f t="shared" si="33"/>
        <v>0</v>
      </c>
      <c r="R42" s="31">
        <f t="shared" si="33"/>
        <v>0</v>
      </c>
      <c r="S42" s="31">
        <f t="shared" si="33"/>
        <v>0</v>
      </c>
      <c r="T42" s="31">
        <f t="shared" si="33"/>
        <v>0</v>
      </c>
      <c r="U42" s="31">
        <f t="shared" si="33"/>
        <v>0</v>
      </c>
      <c r="V42" s="31">
        <f t="shared" si="33"/>
        <v>0</v>
      </c>
      <c r="W42" s="31">
        <f t="shared" si="33"/>
        <v>0</v>
      </c>
      <c r="X42" s="31">
        <f t="shared" si="33"/>
        <v>0</v>
      </c>
      <c r="Y42" s="31">
        <f t="shared" si="33"/>
        <v>0</v>
      </c>
      <c r="Z42" s="31">
        <f t="shared" si="33"/>
        <v>0</v>
      </c>
      <c r="AA42" s="31">
        <f t="shared" si="33"/>
        <v>0</v>
      </c>
      <c r="AB42" s="31">
        <f t="shared" si="33"/>
        <v>0</v>
      </c>
      <c r="AC42" s="31">
        <f t="shared" si="33"/>
        <v>0</v>
      </c>
      <c r="AD42" s="31">
        <f t="shared" si="33"/>
        <v>0</v>
      </c>
      <c r="AE42" s="31">
        <f t="shared" si="33"/>
        <v>0</v>
      </c>
      <c r="AF42" s="31">
        <f t="shared" si="33"/>
        <v>0</v>
      </c>
      <c r="AG42" s="31">
        <f t="shared" si="33"/>
        <v>0</v>
      </c>
      <c r="AH42" s="31">
        <f t="shared" si="33"/>
        <v>0</v>
      </c>
      <c r="AI42" s="31">
        <f t="shared" si="33"/>
        <v>0</v>
      </c>
      <c r="AJ42" s="31">
        <f t="shared" si="33"/>
        <v>0</v>
      </c>
      <c r="AK42" s="31">
        <f t="shared" si="33"/>
        <v>0</v>
      </c>
      <c r="AL42" s="31">
        <f t="shared" si="33"/>
        <v>0</v>
      </c>
      <c r="AM42" s="31">
        <f t="shared" si="33"/>
        <v>0</v>
      </c>
      <c r="AN42" s="31">
        <f t="shared" si="33"/>
        <v>0</v>
      </c>
      <c r="AO42" s="31">
        <f t="shared" si="33"/>
        <v>0</v>
      </c>
      <c r="AP42" s="31">
        <f t="shared" si="33"/>
        <v>0</v>
      </c>
      <c r="AQ42" s="31">
        <f t="shared" si="33"/>
        <v>0</v>
      </c>
      <c r="AR42" s="31">
        <f t="shared" si="33"/>
        <v>0</v>
      </c>
      <c r="AS42" s="31">
        <f t="shared" si="33"/>
        <v>0</v>
      </c>
      <c r="AT42" s="31">
        <f aca="true" t="shared" si="34" ref="O42:AZ48">AS42</f>
        <v>0</v>
      </c>
      <c r="AU42" s="31">
        <f t="shared" si="34"/>
        <v>0</v>
      </c>
      <c r="AV42" s="31">
        <f t="shared" si="34"/>
        <v>0</v>
      </c>
      <c r="AW42" s="31">
        <f t="shared" si="34"/>
        <v>0</v>
      </c>
      <c r="AX42" s="31">
        <f t="shared" si="34"/>
        <v>0</v>
      </c>
      <c r="AY42" s="31">
        <f t="shared" si="34"/>
        <v>0</v>
      </c>
      <c r="AZ42" s="31">
        <f t="shared" si="34"/>
        <v>0</v>
      </c>
    </row>
    <row r="43" spans="2:52" ht="15">
      <c r="B43" s="24"/>
      <c r="C43" s="25" t="s">
        <v>9</v>
      </c>
      <c r="D43" s="25" t="s">
        <v>67</v>
      </c>
      <c r="E43" s="267">
        <f>'Green+Social Interface'!$T$22*'Green+Social Interface'!$U$22</f>
        <v>0</v>
      </c>
      <c r="F43" s="317">
        <f>$D$97</f>
        <v>17.81628732043309</v>
      </c>
      <c r="G43" t="s">
        <v>512</v>
      </c>
      <c r="H43" s="21">
        <f>'Green+Social Interface'!$O$6</f>
        <v>0.07</v>
      </c>
      <c r="I43" s="22"/>
      <c r="J43" s="168">
        <f t="shared" si="25"/>
        <v>0</v>
      </c>
      <c r="K43" s="270">
        <f t="shared" si="29"/>
        <v>0</v>
      </c>
      <c r="L43" s="271">
        <f t="shared" si="30"/>
        <v>0</v>
      </c>
      <c r="M43" s="31">
        <f t="shared" si="31"/>
        <v>0</v>
      </c>
      <c r="N43" s="31">
        <f t="shared" si="32"/>
        <v>0</v>
      </c>
      <c r="O43" s="31">
        <f t="shared" si="34"/>
        <v>0</v>
      </c>
      <c r="P43" s="31">
        <f t="shared" si="34"/>
        <v>0</v>
      </c>
      <c r="Q43" s="31">
        <f t="shared" si="34"/>
        <v>0</v>
      </c>
      <c r="R43" s="31">
        <f t="shared" si="34"/>
        <v>0</v>
      </c>
      <c r="S43" s="31">
        <f t="shared" si="34"/>
        <v>0</v>
      </c>
      <c r="T43" s="31">
        <f t="shared" si="34"/>
        <v>0</v>
      </c>
      <c r="U43" s="31">
        <f t="shared" si="34"/>
        <v>0</v>
      </c>
      <c r="V43" s="31">
        <f t="shared" si="34"/>
        <v>0</v>
      </c>
      <c r="W43" s="31">
        <f t="shared" si="34"/>
        <v>0</v>
      </c>
      <c r="X43" s="31">
        <f t="shared" si="34"/>
        <v>0</v>
      </c>
      <c r="Y43" s="31">
        <f t="shared" si="34"/>
        <v>0</v>
      </c>
      <c r="Z43" s="31">
        <f t="shared" si="34"/>
        <v>0</v>
      </c>
      <c r="AA43" s="31">
        <f t="shared" si="34"/>
        <v>0</v>
      </c>
      <c r="AB43" s="31">
        <f t="shared" si="34"/>
        <v>0</v>
      </c>
      <c r="AC43" s="31">
        <f t="shared" si="34"/>
        <v>0</v>
      </c>
      <c r="AD43" s="31">
        <f t="shared" si="34"/>
        <v>0</v>
      </c>
      <c r="AE43" s="31">
        <f t="shared" si="34"/>
        <v>0</v>
      </c>
      <c r="AF43" s="31">
        <f t="shared" si="34"/>
        <v>0</v>
      </c>
      <c r="AG43" s="31">
        <f t="shared" si="34"/>
        <v>0</v>
      </c>
      <c r="AH43" s="31">
        <f t="shared" si="34"/>
        <v>0</v>
      </c>
      <c r="AI43" s="31">
        <f t="shared" si="34"/>
        <v>0</v>
      </c>
      <c r="AJ43" s="31">
        <f t="shared" si="34"/>
        <v>0</v>
      </c>
      <c r="AK43" s="31">
        <f t="shared" si="34"/>
        <v>0</v>
      </c>
      <c r="AL43" s="31">
        <f t="shared" si="34"/>
        <v>0</v>
      </c>
      <c r="AM43" s="31">
        <f t="shared" si="34"/>
        <v>0</v>
      </c>
      <c r="AN43" s="31">
        <f t="shared" si="34"/>
        <v>0</v>
      </c>
      <c r="AO43" s="31">
        <f t="shared" si="34"/>
        <v>0</v>
      </c>
      <c r="AP43" s="31">
        <f t="shared" si="34"/>
        <v>0</v>
      </c>
      <c r="AQ43" s="31">
        <f t="shared" si="34"/>
        <v>0</v>
      </c>
      <c r="AR43" s="31">
        <f t="shared" si="34"/>
        <v>0</v>
      </c>
      <c r="AS43" s="31">
        <f t="shared" si="34"/>
        <v>0</v>
      </c>
      <c r="AT43" s="31">
        <f t="shared" si="34"/>
        <v>0</v>
      </c>
      <c r="AU43" s="31">
        <f t="shared" si="34"/>
        <v>0</v>
      </c>
      <c r="AV43" s="31">
        <f t="shared" si="34"/>
        <v>0</v>
      </c>
      <c r="AW43" s="31">
        <f t="shared" si="34"/>
        <v>0</v>
      </c>
      <c r="AX43" s="31">
        <f t="shared" si="34"/>
        <v>0</v>
      </c>
      <c r="AY43" s="31">
        <f t="shared" si="34"/>
        <v>0</v>
      </c>
      <c r="AZ43" s="31">
        <f t="shared" si="34"/>
        <v>0</v>
      </c>
    </row>
    <row r="44" spans="2:52" ht="15">
      <c r="B44" s="24" t="s">
        <v>136</v>
      </c>
      <c r="C44" s="25" t="s">
        <v>6</v>
      </c>
      <c r="D44" s="25" t="s">
        <v>67</v>
      </c>
      <c r="E44" s="267">
        <f>'Green+Social Interface'!$O$18*'Green+Social Interface'!$P$18</f>
        <v>0</v>
      </c>
      <c r="F44" s="317">
        <f>$D$92</f>
        <v>17.81628732043309</v>
      </c>
      <c r="G44" t="s">
        <v>512</v>
      </c>
      <c r="H44" s="21">
        <f>'Green+Social Interface'!$O$6</f>
        <v>0.07</v>
      </c>
      <c r="I44" s="22"/>
      <c r="J44" s="168">
        <f t="shared" si="25"/>
        <v>0</v>
      </c>
      <c r="K44" s="270">
        <f t="shared" si="29"/>
        <v>0</v>
      </c>
      <c r="L44" s="271">
        <f t="shared" si="30"/>
        <v>0</v>
      </c>
      <c r="M44" s="31">
        <f t="shared" si="31"/>
        <v>0</v>
      </c>
      <c r="N44" s="31">
        <f t="shared" si="32"/>
        <v>0</v>
      </c>
      <c r="O44" s="31">
        <f t="shared" si="34"/>
        <v>0</v>
      </c>
      <c r="P44" s="31">
        <f t="shared" si="34"/>
        <v>0</v>
      </c>
      <c r="Q44" s="31">
        <f t="shared" si="34"/>
        <v>0</v>
      </c>
      <c r="R44" s="31">
        <f t="shared" si="34"/>
        <v>0</v>
      </c>
      <c r="S44" s="31">
        <f t="shared" si="34"/>
        <v>0</v>
      </c>
      <c r="T44" s="31">
        <f t="shared" si="34"/>
        <v>0</v>
      </c>
      <c r="U44" s="31">
        <f t="shared" si="34"/>
        <v>0</v>
      </c>
      <c r="V44" s="31">
        <f t="shared" si="34"/>
        <v>0</v>
      </c>
      <c r="W44" s="31">
        <f t="shared" si="34"/>
        <v>0</v>
      </c>
      <c r="X44" s="31">
        <f t="shared" si="34"/>
        <v>0</v>
      </c>
      <c r="Y44" s="31">
        <f t="shared" si="34"/>
        <v>0</v>
      </c>
      <c r="Z44" s="31">
        <f t="shared" si="34"/>
        <v>0</v>
      </c>
      <c r="AA44" s="31">
        <f t="shared" si="34"/>
        <v>0</v>
      </c>
      <c r="AB44" s="31">
        <f t="shared" si="34"/>
        <v>0</v>
      </c>
      <c r="AC44" s="31">
        <f t="shared" si="34"/>
        <v>0</v>
      </c>
      <c r="AD44" s="31">
        <f t="shared" si="34"/>
        <v>0</v>
      </c>
      <c r="AE44" s="31">
        <f t="shared" si="34"/>
        <v>0</v>
      </c>
      <c r="AF44" s="31">
        <f t="shared" si="34"/>
        <v>0</v>
      </c>
      <c r="AG44" s="31">
        <f t="shared" si="34"/>
        <v>0</v>
      </c>
      <c r="AH44" s="31">
        <f t="shared" si="34"/>
        <v>0</v>
      </c>
      <c r="AI44" s="31">
        <f t="shared" si="34"/>
        <v>0</v>
      </c>
      <c r="AJ44" s="31">
        <f t="shared" si="34"/>
        <v>0</v>
      </c>
      <c r="AK44" s="31">
        <f t="shared" si="34"/>
        <v>0</v>
      </c>
      <c r="AL44" s="31">
        <f t="shared" si="34"/>
        <v>0</v>
      </c>
      <c r="AM44" s="31">
        <f t="shared" si="34"/>
        <v>0</v>
      </c>
      <c r="AN44" s="31">
        <f t="shared" si="34"/>
        <v>0</v>
      </c>
      <c r="AO44" s="31">
        <f t="shared" si="34"/>
        <v>0</v>
      </c>
      <c r="AP44" s="31">
        <f t="shared" si="34"/>
        <v>0</v>
      </c>
      <c r="AQ44" s="31">
        <f t="shared" si="34"/>
        <v>0</v>
      </c>
      <c r="AR44" s="31">
        <f t="shared" si="34"/>
        <v>0</v>
      </c>
      <c r="AS44" s="31">
        <f t="shared" si="34"/>
        <v>0</v>
      </c>
      <c r="AT44" s="31">
        <f t="shared" si="34"/>
        <v>0</v>
      </c>
      <c r="AU44" s="31">
        <f t="shared" si="34"/>
        <v>0</v>
      </c>
      <c r="AV44" s="31">
        <f t="shared" si="34"/>
        <v>0</v>
      </c>
      <c r="AW44" s="31">
        <f t="shared" si="34"/>
        <v>0</v>
      </c>
      <c r="AX44" s="31">
        <f t="shared" si="34"/>
        <v>0</v>
      </c>
      <c r="AY44" s="31">
        <f t="shared" si="34"/>
        <v>0</v>
      </c>
      <c r="AZ44" s="31">
        <f t="shared" si="34"/>
        <v>0</v>
      </c>
    </row>
    <row r="45" spans="2:52" ht="15">
      <c r="B45" s="24"/>
      <c r="C45" s="25" t="s">
        <v>7</v>
      </c>
      <c r="D45" s="25" t="s">
        <v>67</v>
      </c>
      <c r="E45" s="267">
        <f>'Green+Social Interface'!$O$19*'Green+Social Interface'!$P$19</f>
        <v>0</v>
      </c>
      <c r="F45" s="317">
        <f>$D$92</f>
        <v>17.81628732043309</v>
      </c>
      <c r="G45" t="s">
        <v>512</v>
      </c>
      <c r="H45" s="21">
        <f>'Green+Social Interface'!$O$6</f>
        <v>0.07</v>
      </c>
      <c r="I45" s="22"/>
      <c r="J45" s="168">
        <f t="shared" si="25"/>
        <v>0</v>
      </c>
      <c r="K45" s="270">
        <f t="shared" si="29"/>
        <v>0</v>
      </c>
      <c r="L45" s="271">
        <f t="shared" si="30"/>
        <v>0</v>
      </c>
      <c r="M45" s="31">
        <f t="shared" si="31"/>
        <v>0</v>
      </c>
      <c r="N45" s="31">
        <f t="shared" si="32"/>
        <v>0</v>
      </c>
      <c r="O45" s="31">
        <f t="shared" si="34"/>
        <v>0</v>
      </c>
      <c r="P45" s="31">
        <f t="shared" si="34"/>
        <v>0</v>
      </c>
      <c r="Q45" s="31">
        <f t="shared" si="34"/>
        <v>0</v>
      </c>
      <c r="R45" s="31">
        <f t="shared" si="34"/>
        <v>0</v>
      </c>
      <c r="S45" s="31">
        <f t="shared" si="34"/>
        <v>0</v>
      </c>
      <c r="T45" s="31">
        <f t="shared" si="34"/>
        <v>0</v>
      </c>
      <c r="U45" s="31">
        <f t="shared" si="34"/>
        <v>0</v>
      </c>
      <c r="V45" s="31">
        <f t="shared" si="34"/>
        <v>0</v>
      </c>
      <c r="W45" s="31">
        <f t="shared" si="34"/>
        <v>0</v>
      </c>
      <c r="X45" s="31">
        <f t="shared" si="34"/>
        <v>0</v>
      </c>
      <c r="Y45" s="31">
        <f t="shared" si="34"/>
        <v>0</v>
      </c>
      <c r="Z45" s="31">
        <f t="shared" si="34"/>
        <v>0</v>
      </c>
      <c r="AA45" s="31">
        <f t="shared" si="34"/>
        <v>0</v>
      </c>
      <c r="AB45" s="31">
        <f t="shared" si="34"/>
        <v>0</v>
      </c>
      <c r="AC45" s="31">
        <f t="shared" si="34"/>
        <v>0</v>
      </c>
      <c r="AD45" s="31">
        <f t="shared" si="34"/>
        <v>0</v>
      </c>
      <c r="AE45" s="31">
        <f t="shared" si="34"/>
        <v>0</v>
      </c>
      <c r="AF45" s="31">
        <f t="shared" si="34"/>
        <v>0</v>
      </c>
      <c r="AG45" s="31">
        <f t="shared" si="34"/>
        <v>0</v>
      </c>
      <c r="AH45" s="31">
        <f t="shared" si="34"/>
        <v>0</v>
      </c>
      <c r="AI45" s="31">
        <f t="shared" si="34"/>
        <v>0</v>
      </c>
      <c r="AJ45" s="31">
        <f t="shared" si="34"/>
        <v>0</v>
      </c>
      <c r="AK45" s="31">
        <f t="shared" si="34"/>
        <v>0</v>
      </c>
      <c r="AL45" s="31">
        <f t="shared" si="34"/>
        <v>0</v>
      </c>
      <c r="AM45" s="31">
        <f t="shared" si="34"/>
        <v>0</v>
      </c>
      <c r="AN45" s="31">
        <f t="shared" si="34"/>
        <v>0</v>
      </c>
      <c r="AO45" s="31">
        <f t="shared" si="34"/>
        <v>0</v>
      </c>
      <c r="AP45" s="31">
        <f t="shared" si="34"/>
        <v>0</v>
      </c>
      <c r="AQ45" s="31">
        <f t="shared" si="34"/>
        <v>0</v>
      </c>
      <c r="AR45" s="31">
        <f t="shared" si="34"/>
        <v>0</v>
      </c>
      <c r="AS45" s="31">
        <f t="shared" si="34"/>
        <v>0</v>
      </c>
      <c r="AT45" s="31">
        <f t="shared" si="34"/>
        <v>0</v>
      </c>
      <c r="AU45" s="31">
        <f t="shared" si="34"/>
        <v>0</v>
      </c>
      <c r="AV45" s="31">
        <f t="shared" si="34"/>
        <v>0</v>
      </c>
      <c r="AW45" s="31">
        <f t="shared" si="34"/>
        <v>0</v>
      </c>
      <c r="AX45" s="31">
        <f t="shared" si="34"/>
        <v>0</v>
      </c>
      <c r="AY45" s="31">
        <f t="shared" si="34"/>
        <v>0</v>
      </c>
      <c r="AZ45" s="31">
        <f t="shared" si="34"/>
        <v>0</v>
      </c>
    </row>
    <row r="46" spans="2:52" ht="15">
      <c r="B46" s="24"/>
      <c r="C46" s="25" t="s">
        <v>8</v>
      </c>
      <c r="D46" s="25" t="s">
        <v>67</v>
      </c>
      <c r="E46" s="267">
        <f>'Green+Social Interface'!$O$20*'Green+Social Interface'!$P$20</f>
        <v>0</v>
      </c>
      <c r="F46" s="317">
        <f>$D$92</f>
        <v>17.81628732043309</v>
      </c>
      <c r="G46" t="s">
        <v>512</v>
      </c>
      <c r="H46" s="21">
        <f>'Green+Social Interface'!$O$6</f>
        <v>0.07</v>
      </c>
      <c r="I46" s="22"/>
      <c r="J46" s="168">
        <f t="shared" si="25"/>
        <v>0</v>
      </c>
      <c r="K46" s="270">
        <f t="shared" si="29"/>
        <v>0</v>
      </c>
      <c r="L46" s="271">
        <f t="shared" si="30"/>
        <v>0</v>
      </c>
      <c r="M46" s="31">
        <f t="shared" si="31"/>
        <v>0</v>
      </c>
      <c r="N46" s="31">
        <f t="shared" si="32"/>
        <v>0</v>
      </c>
      <c r="O46" s="31">
        <f t="shared" si="34"/>
        <v>0</v>
      </c>
      <c r="P46" s="31">
        <f t="shared" si="34"/>
        <v>0</v>
      </c>
      <c r="Q46" s="31">
        <f t="shared" si="34"/>
        <v>0</v>
      </c>
      <c r="R46" s="31">
        <f t="shared" si="34"/>
        <v>0</v>
      </c>
      <c r="S46" s="31">
        <f t="shared" si="34"/>
        <v>0</v>
      </c>
      <c r="T46" s="31">
        <f t="shared" si="34"/>
        <v>0</v>
      </c>
      <c r="U46" s="31">
        <f t="shared" si="34"/>
        <v>0</v>
      </c>
      <c r="V46" s="31">
        <f t="shared" si="34"/>
        <v>0</v>
      </c>
      <c r="W46" s="31">
        <f t="shared" si="34"/>
        <v>0</v>
      </c>
      <c r="X46" s="31">
        <f t="shared" si="34"/>
        <v>0</v>
      </c>
      <c r="Y46" s="31">
        <f t="shared" si="34"/>
        <v>0</v>
      </c>
      <c r="Z46" s="31">
        <f t="shared" si="34"/>
        <v>0</v>
      </c>
      <c r="AA46" s="31">
        <f t="shared" si="34"/>
        <v>0</v>
      </c>
      <c r="AB46" s="31">
        <f t="shared" si="34"/>
        <v>0</v>
      </c>
      <c r="AC46" s="31">
        <f t="shared" si="34"/>
        <v>0</v>
      </c>
      <c r="AD46" s="31">
        <f t="shared" si="34"/>
        <v>0</v>
      </c>
      <c r="AE46" s="31">
        <f t="shared" si="34"/>
        <v>0</v>
      </c>
      <c r="AF46" s="31">
        <f t="shared" si="34"/>
        <v>0</v>
      </c>
      <c r="AG46" s="31">
        <f t="shared" si="34"/>
        <v>0</v>
      </c>
      <c r="AH46" s="31">
        <f t="shared" si="34"/>
        <v>0</v>
      </c>
      <c r="AI46" s="31">
        <f t="shared" si="34"/>
        <v>0</v>
      </c>
      <c r="AJ46" s="31">
        <f t="shared" si="34"/>
        <v>0</v>
      </c>
      <c r="AK46" s="31">
        <f t="shared" si="34"/>
        <v>0</v>
      </c>
      <c r="AL46" s="31">
        <f t="shared" si="34"/>
        <v>0</v>
      </c>
      <c r="AM46" s="31">
        <f t="shared" si="34"/>
        <v>0</v>
      </c>
      <c r="AN46" s="31">
        <f t="shared" si="34"/>
        <v>0</v>
      </c>
      <c r="AO46" s="31">
        <f t="shared" si="34"/>
        <v>0</v>
      </c>
      <c r="AP46" s="31">
        <f t="shared" si="34"/>
        <v>0</v>
      </c>
      <c r="AQ46" s="31">
        <f t="shared" si="34"/>
        <v>0</v>
      </c>
      <c r="AR46" s="31">
        <f t="shared" si="34"/>
        <v>0</v>
      </c>
      <c r="AS46" s="31">
        <f t="shared" si="34"/>
        <v>0</v>
      </c>
      <c r="AT46" s="31">
        <f t="shared" si="34"/>
        <v>0</v>
      </c>
      <c r="AU46" s="31">
        <f t="shared" si="34"/>
        <v>0</v>
      </c>
      <c r="AV46" s="31">
        <f t="shared" si="34"/>
        <v>0</v>
      </c>
      <c r="AW46" s="31">
        <f t="shared" si="34"/>
        <v>0</v>
      </c>
      <c r="AX46" s="31">
        <f t="shared" si="34"/>
        <v>0</v>
      </c>
      <c r="AY46" s="31">
        <f t="shared" si="34"/>
        <v>0</v>
      </c>
      <c r="AZ46" s="31">
        <f t="shared" si="34"/>
        <v>0</v>
      </c>
    </row>
    <row r="47" spans="2:52" ht="15">
      <c r="B47" s="24"/>
      <c r="C47" s="25" t="s">
        <v>9</v>
      </c>
      <c r="D47" s="25" t="s">
        <v>67</v>
      </c>
      <c r="E47" s="267">
        <f>'Green+Social Interface'!$O$21*'Green+Social Interface'!$P$21</f>
        <v>0</v>
      </c>
      <c r="F47" s="317">
        <f>$D$92</f>
        <v>17.81628732043309</v>
      </c>
      <c r="G47" t="s">
        <v>512</v>
      </c>
      <c r="H47" s="21">
        <f>'Green+Social Interface'!$O$6</f>
        <v>0.07</v>
      </c>
      <c r="I47" s="22"/>
      <c r="J47" s="168">
        <f t="shared" si="25"/>
        <v>0</v>
      </c>
      <c r="K47" s="270">
        <f t="shared" si="29"/>
        <v>0</v>
      </c>
      <c r="L47" s="271">
        <f t="shared" si="30"/>
        <v>0</v>
      </c>
      <c r="M47" s="31">
        <f t="shared" si="31"/>
        <v>0</v>
      </c>
      <c r="N47" s="31">
        <f t="shared" si="32"/>
        <v>0</v>
      </c>
      <c r="O47" s="31">
        <f t="shared" si="34"/>
        <v>0</v>
      </c>
      <c r="P47" s="31">
        <f t="shared" si="34"/>
        <v>0</v>
      </c>
      <c r="Q47" s="31">
        <f t="shared" si="34"/>
        <v>0</v>
      </c>
      <c r="R47" s="31">
        <f t="shared" si="34"/>
        <v>0</v>
      </c>
      <c r="S47" s="31">
        <f t="shared" si="34"/>
        <v>0</v>
      </c>
      <c r="T47" s="31">
        <f t="shared" si="34"/>
        <v>0</v>
      </c>
      <c r="U47" s="31">
        <f t="shared" si="34"/>
        <v>0</v>
      </c>
      <c r="V47" s="31">
        <f t="shared" si="34"/>
        <v>0</v>
      </c>
      <c r="W47" s="31">
        <f t="shared" si="34"/>
        <v>0</v>
      </c>
      <c r="X47" s="31">
        <f t="shared" si="34"/>
        <v>0</v>
      </c>
      <c r="Y47" s="31">
        <f t="shared" si="34"/>
        <v>0</v>
      </c>
      <c r="Z47" s="31">
        <f t="shared" si="34"/>
        <v>0</v>
      </c>
      <c r="AA47" s="31">
        <f t="shared" si="34"/>
        <v>0</v>
      </c>
      <c r="AB47" s="31">
        <f t="shared" si="34"/>
        <v>0</v>
      </c>
      <c r="AC47" s="31">
        <f t="shared" si="34"/>
        <v>0</v>
      </c>
      <c r="AD47" s="31">
        <f t="shared" si="34"/>
        <v>0</v>
      </c>
      <c r="AE47" s="31">
        <f t="shared" si="34"/>
        <v>0</v>
      </c>
      <c r="AF47" s="31">
        <f t="shared" si="34"/>
        <v>0</v>
      </c>
      <c r="AG47" s="31">
        <f t="shared" si="34"/>
        <v>0</v>
      </c>
      <c r="AH47" s="31">
        <f t="shared" si="34"/>
        <v>0</v>
      </c>
      <c r="AI47" s="31">
        <f t="shared" si="34"/>
        <v>0</v>
      </c>
      <c r="AJ47" s="31">
        <f t="shared" si="34"/>
        <v>0</v>
      </c>
      <c r="AK47" s="31">
        <f t="shared" si="34"/>
        <v>0</v>
      </c>
      <c r="AL47" s="31">
        <f t="shared" si="34"/>
        <v>0</v>
      </c>
      <c r="AM47" s="31">
        <f t="shared" si="34"/>
        <v>0</v>
      </c>
      <c r="AN47" s="31">
        <f t="shared" si="34"/>
        <v>0</v>
      </c>
      <c r="AO47" s="31">
        <f t="shared" si="34"/>
        <v>0</v>
      </c>
      <c r="AP47" s="31">
        <f t="shared" si="34"/>
        <v>0</v>
      </c>
      <c r="AQ47" s="31">
        <f t="shared" si="34"/>
        <v>0</v>
      </c>
      <c r="AR47" s="31">
        <f t="shared" si="34"/>
        <v>0</v>
      </c>
      <c r="AS47" s="31">
        <f t="shared" si="34"/>
        <v>0</v>
      </c>
      <c r="AT47" s="31">
        <f t="shared" si="34"/>
        <v>0</v>
      </c>
      <c r="AU47" s="31">
        <f t="shared" si="34"/>
        <v>0</v>
      </c>
      <c r="AV47" s="31">
        <f t="shared" si="34"/>
        <v>0</v>
      </c>
      <c r="AW47" s="31">
        <f t="shared" si="34"/>
        <v>0</v>
      </c>
      <c r="AX47" s="31">
        <f t="shared" si="34"/>
        <v>0</v>
      </c>
      <c r="AY47" s="31">
        <f t="shared" si="34"/>
        <v>0</v>
      </c>
      <c r="AZ47" s="31">
        <f t="shared" si="34"/>
        <v>0</v>
      </c>
    </row>
    <row r="48" spans="2:52" ht="15">
      <c r="B48" s="24"/>
      <c r="C48" s="25" t="s">
        <v>11</v>
      </c>
      <c r="D48" s="25" t="s">
        <v>67</v>
      </c>
      <c r="E48" s="267">
        <f>'Green+Social Interface'!$O$22*'Green+Social Interface'!$P$22</f>
        <v>0</v>
      </c>
      <c r="F48" s="317">
        <f>$D$92</f>
        <v>17.81628732043309</v>
      </c>
      <c r="G48" t="s">
        <v>512</v>
      </c>
      <c r="H48" s="21">
        <f>'Green+Social Interface'!$O$6</f>
        <v>0.07</v>
      </c>
      <c r="I48" s="22"/>
      <c r="J48" s="168">
        <f t="shared" si="25"/>
        <v>0</v>
      </c>
      <c r="K48" s="270">
        <f t="shared" si="29"/>
        <v>0</v>
      </c>
      <c r="L48" s="271">
        <f t="shared" si="30"/>
        <v>0</v>
      </c>
      <c r="M48" s="31">
        <f t="shared" si="31"/>
        <v>0</v>
      </c>
      <c r="N48" s="31">
        <f t="shared" si="32"/>
        <v>0</v>
      </c>
      <c r="O48" s="31">
        <f t="shared" si="34"/>
        <v>0</v>
      </c>
      <c r="P48" s="31">
        <f t="shared" si="34"/>
        <v>0</v>
      </c>
      <c r="Q48" s="31">
        <f t="shared" si="34"/>
        <v>0</v>
      </c>
      <c r="R48" s="31">
        <f t="shared" si="34"/>
        <v>0</v>
      </c>
      <c r="S48" s="31">
        <f t="shared" si="34"/>
        <v>0</v>
      </c>
      <c r="T48" s="31">
        <f t="shared" si="34"/>
        <v>0</v>
      </c>
      <c r="U48" s="31">
        <f t="shared" si="34"/>
        <v>0</v>
      </c>
      <c r="V48" s="31">
        <f t="shared" si="34"/>
        <v>0</v>
      </c>
      <c r="W48" s="31">
        <f t="shared" si="34"/>
        <v>0</v>
      </c>
      <c r="X48" s="31">
        <f t="shared" si="34"/>
        <v>0</v>
      </c>
      <c r="Y48" s="31">
        <f t="shared" si="34"/>
        <v>0</v>
      </c>
      <c r="Z48" s="31">
        <f t="shared" si="34"/>
        <v>0</v>
      </c>
      <c r="AA48" s="31">
        <f t="shared" si="34"/>
        <v>0</v>
      </c>
      <c r="AB48" s="31">
        <f t="shared" si="34"/>
        <v>0</v>
      </c>
      <c r="AC48" s="31">
        <f t="shared" si="34"/>
        <v>0</v>
      </c>
      <c r="AD48" s="31">
        <f t="shared" si="34"/>
        <v>0</v>
      </c>
      <c r="AE48" s="31">
        <f t="shared" si="34"/>
        <v>0</v>
      </c>
      <c r="AF48" s="31">
        <f t="shared" si="34"/>
        <v>0</v>
      </c>
      <c r="AG48" s="31">
        <f t="shared" si="34"/>
        <v>0</v>
      </c>
      <c r="AH48" s="31">
        <f t="shared" si="34"/>
        <v>0</v>
      </c>
      <c r="AI48" s="31">
        <f t="shared" si="34"/>
        <v>0</v>
      </c>
      <c r="AJ48" s="31">
        <f t="shared" si="34"/>
        <v>0</v>
      </c>
      <c r="AK48" s="31">
        <f t="shared" si="34"/>
        <v>0</v>
      </c>
      <c r="AL48" s="31">
        <f t="shared" si="34"/>
        <v>0</v>
      </c>
      <c r="AM48" s="31">
        <f t="shared" si="34"/>
        <v>0</v>
      </c>
      <c r="AN48" s="31">
        <f t="shared" si="34"/>
        <v>0</v>
      </c>
      <c r="AO48" s="31">
        <f t="shared" si="34"/>
        <v>0</v>
      </c>
      <c r="AP48" s="31">
        <f t="shared" si="34"/>
        <v>0</v>
      </c>
      <c r="AQ48" s="31">
        <f t="shared" si="34"/>
        <v>0</v>
      </c>
      <c r="AR48" s="31">
        <f t="shared" si="34"/>
        <v>0</v>
      </c>
      <c r="AS48" s="31">
        <f t="shared" si="34"/>
        <v>0</v>
      </c>
      <c r="AT48" s="31">
        <f t="shared" si="34"/>
        <v>0</v>
      </c>
      <c r="AU48" s="31">
        <f t="shared" si="34"/>
        <v>0</v>
      </c>
      <c r="AV48" s="31">
        <f t="shared" si="34"/>
        <v>0</v>
      </c>
      <c r="AW48" s="31">
        <f t="shared" si="34"/>
        <v>0</v>
      </c>
      <c r="AX48" s="31">
        <f t="shared" si="34"/>
        <v>0</v>
      </c>
      <c r="AY48" s="31">
        <f t="shared" si="34"/>
        <v>0</v>
      </c>
      <c r="AZ48" s="31">
        <f t="shared" si="34"/>
        <v>0</v>
      </c>
    </row>
    <row r="49" spans="2:52" ht="15">
      <c r="B49" s="268" t="s">
        <v>506</v>
      </c>
      <c r="C49" s="25"/>
      <c r="D49" s="25"/>
      <c r="E49" s="34"/>
      <c r="F49" s="27"/>
      <c r="G49" s="31"/>
      <c r="H49" s="21"/>
      <c r="I49" s="22"/>
      <c r="J49" s="270"/>
      <c r="K49" s="270"/>
      <c r="L49" s="272"/>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row>
    <row r="50" spans="2:52" ht="15">
      <c r="B50" s="24" t="s">
        <v>511</v>
      </c>
      <c r="C50" s="25"/>
      <c r="D50" s="25"/>
      <c r="E50" s="34"/>
      <c r="F50" s="27"/>
      <c r="G50" s="31" t="s">
        <v>513</v>
      </c>
      <c r="H50" s="21"/>
      <c r="I50" s="22"/>
      <c r="J50" s="168">
        <f>IF(AND(K50&gt;0,$C$67&gt;0),K50/$C$67,0)</f>
        <v>0</v>
      </c>
      <c r="K50" s="270">
        <f aca="true" t="shared" si="35" ref="K50">AVERAGE(M50:AZ50)</f>
        <v>0</v>
      </c>
      <c r="L50" s="271">
        <f aca="true" t="shared" si="36" ref="L50">SUM(M50:AZ50)</f>
        <v>0</v>
      </c>
      <c r="M50" s="316">
        <f aca="true" t="shared" si="37" ref="M50:AZ50">SUM(M29:M48)/1000</f>
        <v>0</v>
      </c>
      <c r="N50" s="316">
        <f t="shared" si="37"/>
        <v>0</v>
      </c>
      <c r="O50" s="316">
        <f t="shared" si="37"/>
        <v>0</v>
      </c>
      <c r="P50" s="316">
        <f t="shared" si="37"/>
        <v>0</v>
      </c>
      <c r="Q50" s="316">
        <f t="shared" si="37"/>
        <v>0</v>
      </c>
      <c r="R50" s="316">
        <f t="shared" si="37"/>
        <v>0</v>
      </c>
      <c r="S50" s="316">
        <f t="shared" si="37"/>
        <v>0</v>
      </c>
      <c r="T50" s="316">
        <f t="shared" si="37"/>
        <v>0</v>
      </c>
      <c r="U50" s="316">
        <f t="shared" si="37"/>
        <v>0</v>
      </c>
      <c r="V50" s="316">
        <f t="shared" si="37"/>
        <v>0</v>
      </c>
      <c r="W50" s="316">
        <f t="shared" si="37"/>
        <v>0</v>
      </c>
      <c r="X50" s="316">
        <f t="shared" si="37"/>
        <v>0</v>
      </c>
      <c r="Y50" s="316">
        <f t="shared" si="37"/>
        <v>0</v>
      </c>
      <c r="Z50" s="316">
        <f t="shared" si="37"/>
        <v>0</v>
      </c>
      <c r="AA50" s="316">
        <f t="shared" si="37"/>
        <v>0</v>
      </c>
      <c r="AB50" s="316">
        <f t="shared" si="37"/>
        <v>0</v>
      </c>
      <c r="AC50" s="316">
        <f t="shared" si="37"/>
        <v>0</v>
      </c>
      <c r="AD50" s="316">
        <f t="shared" si="37"/>
        <v>0</v>
      </c>
      <c r="AE50" s="316">
        <f t="shared" si="37"/>
        <v>0</v>
      </c>
      <c r="AF50" s="316">
        <f t="shared" si="37"/>
        <v>0</v>
      </c>
      <c r="AG50" s="316">
        <f t="shared" si="37"/>
        <v>0</v>
      </c>
      <c r="AH50" s="316">
        <f t="shared" si="37"/>
        <v>0</v>
      </c>
      <c r="AI50" s="316">
        <f t="shared" si="37"/>
        <v>0</v>
      </c>
      <c r="AJ50" s="316">
        <f t="shared" si="37"/>
        <v>0</v>
      </c>
      <c r="AK50" s="316">
        <f t="shared" si="37"/>
        <v>0</v>
      </c>
      <c r="AL50" s="316">
        <f t="shared" si="37"/>
        <v>0</v>
      </c>
      <c r="AM50" s="316">
        <f t="shared" si="37"/>
        <v>0</v>
      </c>
      <c r="AN50" s="316">
        <f t="shared" si="37"/>
        <v>0</v>
      </c>
      <c r="AO50" s="316">
        <f t="shared" si="37"/>
        <v>0</v>
      </c>
      <c r="AP50" s="316">
        <f t="shared" si="37"/>
        <v>0</v>
      </c>
      <c r="AQ50" s="316">
        <f t="shared" si="37"/>
        <v>0</v>
      </c>
      <c r="AR50" s="316">
        <f t="shared" si="37"/>
        <v>0</v>
      </c>
      <c r="AS50" s="316">
        <f t="shared" si="37"/>
        <v>0</v>
      </c>
      <c r="AT50" s="316">
        <f t="shared" si="37"/>
        <v>0</v>
      </c>
      <c r="AU50" s="316">
        <f t="shared" si="37"/>
        <v>0</v>
      </c>
      <c r="AV50" s="316">
        <f t="shared" si="37"/>
        <v>0</v>
      </c>
      <c r="AW50" s="316">
        <f t="shared" si="37"/>
        <v>0</v>
      </c>
      <c r="AX50" s="316">
        <f t="shared" si="37"/>
        <v>0</v>
      </c>
      <c r="AY50" s="316">
        <f t="shared" si="37"/>
        <v>0</v>
      </c>
      <c r="AZ50" s="316">
        <f t="shared" si="37"/>
        <v>0</v>
      </c>
    </row>
    <row r="51" spans="2:52" ht="15">
      <c r="B51" s="24" t="s">
        <v>510</v>
      </c>
      <c r="C51" s="25"/>
      <c r="D51" s="25"/>
      <c r="E51" s="34"/>
      <c r="F51" s="27"/>
      <c r="G51" s="31" t="s">
        <v>483</v>
      </c>
      <c r="H51" s="21"/>
      <c r="I51" s="22"/>
      <c r="J51" s="168">
        <f>IF(AND(K51&gt;0,$C$67&gt;0),K51/$C$67,0)</f>
        <v>0</v>
      </c>
      <c r="K51" s="270">
        <f aca="true" t="shared" si="38" ref="K51">AVERAGE(M51:AZ51)</f>
        <v>0</v>
      </c>
      <c r="L51" s="271">
        <f aca="true" t="shared" si="39" ref="L51">SUM(M51:AZ51)</f>
        <v>0</v>
      </c>
      <c r="M51" s="33">
        <f>M50*('Green+Social Interface'!$Z$65*'Green+Social Interface'!$Z$62)</f>
        <v>0</v>
      </c>
      <c r="N51" s="33">
        <f>N50*('Green+Social Interface'!$Z$65*'Green+Social Interface'!$Z$62)</f>
        <v>0</v>
      </c>
      <c r="O51" s="33">
        <f>O50*('Green+Social Interface'!$Z$65*'Green+Social Interface'!$Z$62)</f>
        <v>0</v>
      </c>
      <c r="P51" s="33">
        <f>P50*('Green+Social Interface'!$Z$65*'Green+Social Interface'!$Z$62)</f>
        <v>0</v>
      </c>
      <c r="Q51" s="33">
        <f>Q50*('Green+Social Interface'!$Z$65*'Green+Social Interface'!$Z$62)</f>
        <v>0</v>
      </c>
      <c r="R51" s="33">
        <f>R50*('Green+Social Interface'!$Z$65*'Green+Social Interface'!$Z$62)</f>
        <v>0</v>
      </c>
      <c r="S51" s="33">
        <f>S50*('Green+Social Interface'!$Z$65*'Green+Social Interface'!$Z$62)</f>
        <v>0</v>
      </c>
      <c r="T51" s="33">
        <f>T50*('Green+Social Interface'!$Z$65*'Green+Social Interface'!$Z$62)</f>
        <v>0</v>
      </c>
      <c r="U51" s="33">
        <f>U50*('Green+Social Interface'!$Z$65*'Green+Social Interface'!$Z$62)</f>
        <v>0</v>
      </c>
      <c r="V51" s="33">
        <f>V50*('Green+Social Interface'!$Z$65*'Green+Social Interface'!$Z$62)</f>
        <v>0</v>
      </c>
      <c r="W51" s="33">
        <f>W50*('Green+Social Interface'!$Z$65*'Green+Social Interface'!$Z$62)</f>
        <v>0</v>
      </c>
      <c r="X51" s="33">
        <f>X50*('Green+Social Interface'!$Z$65*'Green+Social Interface'!$Z$62)</f>
        <v>0</v>
      </c>
      <c r="Y51" s="33">
        <f>Y50*('Green+Social Interface'!$Z$65*'Green+Social Interface'!$Z$62)</f>
        <v>0</v>
      </c>
      <c r="Z51" s="33">
        <f>Z50*('Green+Social Interface'!$Z$65*'Green+Social Interface'!$Z$62)</f>
        <v>0</v>
      </c>
      <c r="AA51" s="33">
        <f>AA50*('Green+Social Interface'!$Z$65*'Green+Social Interface'!$Z$62)</f>
        <v>0</v>
      </c>
      <c r="AB51" s="33">
        <f>AB50*('Green+Social Interface'!$Z$65*'Green+Social Interface'!$Z$62)</f>
        <v>0</v>
      </c>
      <c r="AC51" s="33">
        <f>AC50*('Green+Social Interface'!$Z$65*'Green+Social Interface'!$Z$62)</f>
        <v>0</v>
      </c>
      <c r="AD51" s="33">
        <f>AD50*('Green+Social Interface'!$Z$65*'Green+Social Interface'!$Z$62)</f>
        <v>0</v>
      </c>
      <c r="AE51" s="33">
        <f>AE50*('Green+Social Interface'!$Z$65*'Green+Social Interface'!$Z$62)</f>
        <v>0</v>
      </c>
      <c r="AF51" s="33">
        <f>AF50*('Green+Social Interface'!$Z$65*'Green+Social Interface'!$Z$62)</f>
        <v>0</v>
      </c>
      <c r="AG51" s="33">
        <f>AG50*('Green+Social Interface'!$Z$65*'Green+Social Interface'!$Z$62)</f>
        <v>0</v>
      </c>
      <c r="AH51" s="33">
        <f>AH50*('Green+Social Interface'!$Z$65*'Green+Social Interface'!$Z$62)</f>
        <v>0</v>
      </c>
      <c r="AI51" s="33">
        <f>AI50*('Green+Social Interface'!$Z$65*'Green+Social Interface'!$Z$62)</f>
        <v>0</v>
      </c>
      <c r="AJ51" s="33">
        <f>AJ50*('Green+Social Interface'!$Z$65*'Green+Social Interface'!$Z$62)</f>
        <v>0</v>
      </c>
      <c r="AK51" s="33">
        <f>AK50*('Green+Social Interface'!$Z$65*'Green+Social Interface'!$Z$62)</f>
        <v>0</v>
      </c>
      <c r="AL51" s="33">
        <f>AL50*('Green+Social Interface'!$Z$65*'Green+Social Interface'!$Z$62)</f>
        <v>0</v>
      </c>
      <c r="AM51" s="33">
        <f>AM50*('Green+Social Interface'!$Z$65*'Green+Social Interface'!$Z$62)</f>
        <v>0</v>
      </c>
      <c r="AN51" s="33">
        <f>AN50*('Green+Social Interface'!$Z$65*'Green+Social Interface'!$Z$62)</f>
        <v>0</v>
      </c>
      <c r="AO51" s="33">
        <f>AO50*('Green+Social Interface'!$Z$65*'Green+Social Interface'!$Z$62)</f>
        <v>0</v>
      </c>
      <c r="AP51" s="33">
        <f>AP50*('Green+Social Interface'!$Z$65*'Green+Social Interface'!$Z$62)</f>
        <v>0</v>
      </c>
      <c r="AQ51" s="33">
        <f>AQ50*('Green+Social Interface'!$Z$65*'Green+Social Interface'!$Z$62)</f>
        <v>0</v>
      </c>
      <c r="AR51" s="33">
        <f>AR50*('Green+Social Interface'!$Z$65*'Green+Social Interface'!$Z$62)</f>
        <v>0</v>
      </c>
      <c r="AS51" s="33">
        <f>AS50*('Green+Social Interface'!$Z$65*'Green+Social Interface'!$Z$62)</f>
        <v>0</v>
      </c>
      <c r="AT51" s="33">
        <f>AT50*('Green+Social Interface'!$Z$65*'Green+Social Interface'!$Z$62)</f>
        <v>0</v>
      </c>
      <c r="AU51" s="33">
        <f>AU50*('Green+Social Interface'!$Z$65*'Green+Social Interface'!$Z$62)</f>
        <v>0</v>
      </c>
      <c r="AV51" s="33">
        <f>AV50*('Green+Social Interface'!$Z$65*'Green+Social Interface'!$Z$62)</f>
        <v>0</v>
      </c>
      <c r="AW51" s="33">
        <f>AW50*('Green+Social Interface'!$Z$65*'Green+Social Interface'!$Z$62)</f>
        <v>0</v>
      </c>
      <c r="AX51" s="33">
        <f>AX50*('Green+Social Interface'!$Z$65*'Green+Social Interface'!$Z$62)</f>
        <v>0</v>
      </c>
      <c r="AY51" s="33">
        <f>AY50*('Green+Social Interface'!$Z$65*'Green+Social Interface'!$Z$62)</f>
        <v>0</v>
      </c>
      <c r="AZ51" s="33">
        <f>AZ50*('Green+Social Interface'!$Z$65*'Green+Social Interface'!$Z$62)</f>
        <v>0</v>
      </c>
    </row>
    <row r="52" spans="2:52" ht="15">
      <c r="B52" s="24"/>
      <c r="C52" s="25"/>
      <c r="D52" s="25"/>
      <c r="E52" s="34"/>
      <c r="F52" s="27"/>
      <c r="G52" s="31"/>
      <c r="H52" s="21"/>
      <c r="I52" s="22"/>
      <c r="J52" s="32"/>
      <c r="K52" s="32"/>
      <c r="L52" s="152"/>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row>
    <row r="53" spans="2:52" ht="15">
      <c r="B53" s="24"/>
      <c r="C53" s="25"/>
      <c r="D53" s="25"/>
      <c r="E53" s="34"/>
      <c r="F53" s="27"/>
      <c r="G53" s="31"/>
      <c r="H53" s="21"/>
      <c r="I53" s="22"/>
      <c r="J53" s="32"/>
      <c r="K53" s="32"/>
      <c r="L53" s="152"/>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row>
    <row r="54" spans="2:52" ht="15">
      <c r="B54" s="24"/>
      <c r="C54" s="25"/>
      <c r="D54" s="25"/>
      <c r="E54" s="34"/>
      <c r="F54" s="27"/>
      <c r="G54" s="31"/>
      <c r="H54" s="21"/>
      <c r="I54" s="22"/>
      <c r="J54" s="32"/>
      <c r="K54" s="32"/>
      <c r="L54" s="152"/>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row>
    <row r="55" spans="2:52" ht="15">
      <c r="B55" s="24"/>
      <c r="C55" s="25"/>
      <c r="D55" s="25"/>
      <c r="E55" s="34"/>
      <c r="F55" s="27"/>
      <c r="G55" s="31"/>
      <c r="H55" s="21"/>
      <c r="I55" s="22"/>
      <c r="J55" s="32"/>
      <c r="K55" s="32"/>
      <c r="L55" s="152"/>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row>
    <row r="56" spans="2:52" ht="15">
      <c r="B56" s="35"/>
      <c r="C56" s="36"/>
      <c r="D56" s="36"/>
      <c r="E56" s="37"/>
      <c r="F56" s="38"/>
      <c r="G56" s="39"/>
      <c r="H56" s="21"/>
      <c r="I56" s="22"/>
      <c r="J56" s="70"/>
      <c r="K56" s="70"/>
      <c r="L56" s="153"/>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row>
    <row r="57" spans="2:52" ht="15">
      <c r="B57" s="41" t="s">
        <v>514</v>
      </c>
      <c r="C57" s="42"/>
      <c r="D57" s="42"/>
      <c r="E57" s="43"/>
      <c r="F57" s="44"/>
      <c r="G57" s="45"/>
      <c r="H57" s="46"/>
      <c r="I57" s="3"/>
      <c r="J57" s="163"/>
      <c r="K57" s="163"/>
      <c r="L57" s="48"/>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8"/>
    </row>
    <row r="58" spans="2:52" ht="15">
      <c r="B58" s="49" t="s">
        <v>515</v>
      </c>
      <c r="C58" s="50"/>
      <c r="D58" s="50" t="s">
        <v>67</v>
      </c>
      <c r="E58" s="51"/>
      <c r="F58" s="52"/>
      <c r="G58" s="53"/>
      <c r="H58" s="54"/>
      <c r="I58" s="2"/>
      <c r="J58" s="273">
        <f>IF(AND(K58&gt;0,$C$67&gt;0),K58/$C$67,0)</f>
        <v>0</v>
      </c>
      <c r="K58" s="273">
        <f aca="true" t="shared" si="40" ref="K58:K59">AVERAGE(M58:AZ58)</f>
        <v>0</v>
      </c>
      <c r="L58" s="56">
        <f aca="true" t="shared" si="41" ref="L58:L59">SUM(M58:AZ58)</f>
        <v>0</v>
      </c>
      <c r="M58" s="55">
        <f>M50+'Green Infrastructure'!M42+('Green Infrastructure'!M29+'Green Infrastructure'!M30)</f>
        <v>0</v>
      </c>
      <c r="N58" s="55">
        <f>N50+'Green Infrastructure'!N42+('Green Infrastructure'!N29+'Green Infrastructure'!N30)</f>
        <v>0</v>
      </c>
      <c r="O58" s="55">
        <f>O50+'Green Infrastructure'!O42+('Green Infrastructure'!O29+'Green Infrastructure'!O30)</f>
        <v>0</v>
      </c>
      <c r="P58" s="55">
        <f>P50+'Green Infrastructure'!P42+('Green Infrastructure'!P29+'Green Infrastructure'!P30)</f>
        <v>0</v>
      </c>
      <c r="Q58" s="55">
        <f>Q50+'Green Infrastructure'!Q42+('Green Infrastructure'!Q29+'Green Infrastructure'!Q30)</f>
        <v>0</v>
      </c>
      <c r="R58" s="55">
        <f>R50+'Green Infrastructure'!R42+('Green Infrastructure'!R29+'Green Infrastructure'!R30)</f>
        <v>0</v>
      </c>
      <c r="S58" s="55">
        <f>S50+'Green Infrastructure'!S42+('Green Infrastructure'!S29+'Green Infrastructure'!S30)</f>
        <v>0</v>
      </c>
      <c r="T58" s="55">
        <f>T50+'Green Infrastructure'!T42+('Green Infrastructure'!T29+'Green Infrastructure'!T30)</f>
        <v>0</v>
      </c>
      <c r="U58" s="55">
        <f>U50+'Green Infrastructure'!U42+('Green Infrastructure'!U29+'Green Infrastructure'!U30)</f>
        <v>0</v>
      </c>
      <c r="V58" s="55">
        <f>V50+'Green Infrastructure'!V42+('Green Infrastructure'!V29+'Green Infrastructure'!V30)</f>
        <v>0</v>
      </c>
      <c r="W58" s="55">
        <f>W50+'Green Infrastructure'!W42+('Green Infrastructure'!W29+'Green Infrastructure'!W30)</f>
        <v>0</v>
      </c>
      <c r="X58" s="55">
        <f>X50+'Green Infrastructure'!X42+('Green Infrastructure'!X29+'Green Infrastructure'!X30)</f>
        <v>0</v>
      </c>
      <c r="Y58" s="55">
        <f>Y50+'Green Infrastructure'!Y42+('Green Infrastructure'!Y29+'Green Infrastructure'!Y30)</f>
        <v>0</v>
      </c>
      <c r="Z58" s="55">
        <f>Z50+'Green Infrastructure'!Z42+('Green Infrastructure'!Z29+'Green Infrastructure'!Z30)</f>
        <v>0</v>
      </c>
      <c r="AA58" s="55">
        <f>AA50+'Green Infrastructure'!AA42+('Green Infrastructure'!AA29+'Green Infrastructure'!AA30)</f>
        <v>0</v>
      </c>
      <c r="AB58" s="55">
        <f>AB50+'Green Infrastructure'!AB42+('Green Infrastructure'!AB29+'Green Infrastructure'!AB30)</f>
        <v>0</v>
      </c>
      <c r="AC58" s="55">
        <f>AC50+'Green Infrastructure'!AC42+('Green Infrastructure'!AC29+'Green Infrastructure'!AC30)</f>
        <v>0</v>
      </c>
      <c r="AD58" s="55">
        <f>AD50+'Green Infrastructure'!AD42+('Green Infrastructure'!AD29+'Green Infrastructure'!AD30)</f>
        <v>0</v>
      </c>
      <c r="AE58" s="55">
        <f>AE50+'Green Infrastructure'!AE42+('Green Infrastructure'!AE29+'Green Infrastructure'!AE30)</f>
        <v>0</v>
      </c>
      <c r="AF58" s="55">
        <f>AF50+'Green Infrastructure'!AF42+('Green Infrastructure'!AF29+'Green Infrastructure'!AF30)</f>
        <v>0</v>
      </c>
      <c r="AG58" s="55">
        <f>AG50+'Green Infrastructure'!AG42+('Green Infrastructure'!AG29+'Green Infrastructure'!AG30)</f>
        <v>0</v>
      </c>
      <c r="AH58" s="55">
        <f>AH50+'Green Infrastructure'!AH42+('Green Infrastructure'!AH29+'Green Infrastructure'!AH30)</f>
        <v>0</v>
      </c>
      <c r="AI58" s="55">
        <f>AI50+'Green Infrastructure'!AI42+('Green Infrastructure'!AI29+'Green Infrastructure'!AI30)</f>
        <v>0</v>
      </c>
      <c r="AJ58" s="55">
        <f>AJ50+'Green Infrastructure'!AJ42+('Green Infrastructure'!AJ29+'Green Infrastructure'!AJ30)</f>
        <v>0</v>
      </c>
      <c r="AK58" s="55">
        <f>AK50+'Green Infrastructure'!AK42+('Green Infrastructure'!AK29+'Green Infrastructure'!AK30)</f>
        <v>0</v>
      </c>
      <c r="AL58" s="55">
        <f>AL50+'Green Infrastructure'!AL42+('Green Infrastructure'!AL29+'Green Infrastructure'!AL30)</f>
        <v>0</v>
      </c>
      <c r="AM58" s="55">
        <f>AM50+'Green Infrastructure'!AM42+('Green Infrastructure'!AM29+'Green Infrastructure'!AM30)</f>
        <v>0</v>
      </c>
      <c r="AN58" s="55">
        <f>AN50+'Green Infrastructure'!AN42+('Green Infrastructure'!AN29+'Green Infrastructure'!AN30)</f>
        <v>0</v>
      </c>
      <c r="AO58" s="55">
        <f>AO50+'Green Infrastructure'!AO42+('Green Infrastructure'!AO29+'Green Infrastructure'!AO30)</f>
        <v>0</v>
      </c>
      <c r="AP58" s="55">
        <f>AP50+'Green Infrastructure'!AP42+('Green Infrastructure'!AP29+'Green Infrastructure'!AP30)</f>
        <v>0</v>
      </c>
      <c r="AQ58" s="55">
        <f>AQ50+'Green Infrastructure'!AQ42+('Green Infrastructure'!AQ29+'Green Infrastructure'!AQ30)</f>
        <v>0</v>
      </c>
      <c r="AR58" s="55">
        <f>AR50+'Green Infrastructure'!AR42+('Green Infrastructure'!AR29+'Green Infrastructure'!AR30)</f>
        <v>0</v>
      </c>
      <c r="AS58" s="55">
        <f>AS50+'Green Infrastructure'!AS42+('Green Infrastructure'!AS29+'Green Infrastructure'!AS30)</f>
        <v>0</v>
      </c>
      <c r="AT58" s="55">
        <f>AT50+'Green Infrastructure'!AT42+('Green Infrastructure'!AT29+'Green Infrastructure'!AT30)</f>
        <v>0</v>
      </c>
      <c r="AU58" s="55">
        <f>AU50+'Green Infrastructure'!AU42+('Green Infrastructure'!AU29+'Green Infrastructure'!AU30)</f>
        <v>0</v>
      </c>
      <c r="AV58" s="55">
        <f>AV50+'Green Infrastructure'!AV42+('Green Infrastructure'!AV29+'Green Infrastructure'!AV30)</f>
        <v>0</v>
      </c>
      <c r="AW58" s="55">
        <f>AW50+'Green Infrastructure'!AW42+('Green Infrastructure'!AW29+'Green Infrastructure'!AW30)</f>
        <v>0</v>
      </c>
      <c r="AX58" s="55">
        <f>AX50+'Green Infrastructure'!AX42+('Green Infrastructure'!AX29+'Green Infrastructure'!AX30)</f>
        <v>0</v>
      </c>
      <c r="AY58" s="55">
        <f>AY50+'Green Infrastructure'!AY42+('Green Infrastructure'!AY29+'Green Infrastructure'!AY30)</f>
        <v>0</v>
      </c>
      <c r="AZ58" s="55">
        <f>AZ50+'Green Infrastructure'!AZ42+('Green Infrastructure'!AZ29+'Green Infrastructure'!AZ30)</f>
        <v>0</v>
      </c>
    </row>
    <row r="59" spans="2:52" ht="15">
      <c r="B59" s="57" t="s">
        <v>516</v>
      </c>
      <c r="C59" s="58" t="s">
        <v>646</v>
      </c>
      <c r="D59" s="58" t="s">
        <v>67</v>
      </c>
      <c r="E59" s="59"/>
      <c r="F59" s="60"/>
      <c r="G59" s="61"/>
      <c r="H59" s="62"/>
      <c r="I59" s="2"/>
      <c r="J59" s="63">
        <f>IF(AND(K59&gt;0,$C$67&gt;0),K59/$C$67,0)</f>
        <v>0</v>
      </c>
      <c r="K59" s="63">
        <f t="shared" si="40"/>
        <v>0</v>
      </c>
      <c r="L59" s="65">
        <f t="shared" si="41"/>
        <v>0</v>
      </c>
      <c r="M59" s="64">
        <f>M58*(('Green+Social Interface'!$Z$62*'Green+Social Interface'!$Z$65)*(1+0.0255))</f>
        <v>0</v>
      </c>
      <c r="N59" s="64">
        <f>N58*(('Green+Social Interface'!$Z$62*'Green+Social Interface'!$Z$65)*(1+0.0255+$C$70)^(N3-1))</f>
        <v>0</v>
      </c>
      <c r="O59" s="64">
        <f>O58*(('Green+Social Interface'!$Z$62*'Green+Social Interface'!$Z$65)*(1+0.0255+$C$70)^(O3-1))</f>
        <v>0</v>
      </c>
      <c r="P59" s="64">
        <f>P58*(('Green+Social Interface'!$Z$62*'Green+Social Interface'!$Z$65)*(1+0.0255+$C$70)^(P3-1))</f>
        <v>0</v>
      </c>
      <c r="Q59" s="64">
        <f>Q58*(('Green+Social Interface'!$Z$62*'Green+Social Interface'!$Z$65)*(1+0.0255+$C$70)^(Q3-1))</f>
        <v>0</v>
      </c>
      <c r="R59" s="64">
        <f>R58*(('Green+Social Interface'!$Z$62*'Green+Social Interface'!$Z$65)*(1+0.0255+$C$70)^(R3-1))</f>
        <v>0</v>
      </c>
      <c r="S59" s="64">
        <f>S58*(('Green+Social Interface'!$Z$62*'Green+Social Interface'!$Z$65)*(1+0.0255+$C$70)^(S3-1))</f>
        <v>0</v>
      </c>
      <c r="T59" s="64">
        <f>T58*(('Green+Social Interface'!$Z$62*'Green+Social Interface'!$Z$65)*(1+0.0255+$C$70)^(T3-1))</f>
        <v>0</v>
      </c>
      <c r="U59" s="64">
        <f>U58*(('Green+Social Interface'!$Z$62*'Green+Social Interface'!$Z$65)*(1+0.0255+$C$70)^(U3-1))</f>
        <v>0</v>
      </c>
      <c r="V59" s="64">
        <f>V58*(('Green+Social Interface'!$Z$62*'Green+Social Interface'!$Z$65)*(1+0.0255+$C$70)^(V3-1))</f>
        <v>0</v>
      </c>
      <c r="W59" s="64">
        <f>W58*(('Green+Social Interface'!$Z$62*'Green+Social Interface'!$Z$65)*(1+0.0255+$C$70)^(W3-1))</f>
        <v>0</v>
      </c>
      <c r="X59" s="64">
        <f>X58*(('Green+Social Interface'!$Z$62*'Green+Social Interface'!$Z$65)*(1+0.0255+$C$70)^(X3-1))</f>
        <v>0</v>
      </c>
      <c r="Y59" s="64">
        <f>Y58*(('Green+Social Interface'!$Z$62*'Green+Social Interface'!$Z$65)*(1+0.0255+$C$70)^(Y3-1))</f>
        <v>0</v>
      </c>
      <c r="Z59" s="64">
        <f>Z58*(('Green+Social Interface'!$Z$62*'Green+Social Interface'!$Z$65)*(1+0.0255+$C$70)^(Z3-1))</f>
        <v>0</v>
      </c>
      <c r="AA59" s="64">
        <f>AA58*(('Green+Social Interface'!$Z$62*'Green+Social Interface'!$Z$65)*(1+0.0255+$C$70)^(AA3-1))</f>
        <v>0</v>
      </c>
      <c r="AB59" s="64">
        <f>AB58*(('Green+Social Interface'!$Z$62*'Green+Social Interface'!$Z$65)*(1+0.0255+$C$70)^(AB3-1))</f>
        <v>0</v>
      </c>
      <c r="AC59" s="64">
        <f>AC58*(('Green+Social Interface'!$Z$62*'Green+Social Interface'!$Z$65)*(1+0.0255+$C$70)^(AC3-1))</f>
        <v>0</v>
      </c>
      <c r="AD59" s="64">
        <f>AD58*(('Green+Social Interface'!$Z$62*'Green+Social Interface'!$Z$65)*(1+0.0255+$C$70)^(AD3-1))</f>
        <v>0</v>
      </c>
      <c r="AE59" s="64">
        <f>AE58*(('Green+Social Interface'!$Z$62*'Green+Social Interface'!$Z$65)*(1+0.0255+$C$70)^(AE3-1))</f>
        <v>0</v>
      </c>
      <c r="AF59" s="64">
        <f>AF58*(('Green+Social Interface'!$Z$62*'Green+Social Interface'!$Z$65)*(1+0.0255+$C$70)^(AF3-1))</f>
        <v>0</v>
      </c>
      <c r="AG59" s="64">
        <f>AG58*(('Green+Social Interface'!$Z$62*'Green+Social Interface'!$Z$65)*(1+0.0255+$C$70)^(AG3-1))</f>
        <v>0</v>
      </c>
      <c r="AH59" s="64">
        <f>AH58*(('Green+Social Interface'!$Z$62*'Green+Social Interface'!$Z$65)*(1+0.0255+$C$70)^(AH3-1))</f>
        <v>0</v>
      </c>
      <c r="AI59" s="64">
        <f>AI58*(('Green+Social Interface'!$Z$62*'Green+Social Interface'!$Z$65)*(1+0.0255+$C$70)^(AI3-1))</f>
        <v>0</v>
      </c>
      <c r="AJ59" s="64">
        <f>AJ58*(('Green+Social Interface'!$Z$62*'Green+Social Interface'!$Z$65)*(1+0.0255+$C$70)^(AJ3-1))</f>
        <v>0</v>
      </c>
      <c r="AK59" s="64">
        <f>AK58*(('Green+Social Interface'!$Z$62*'Green+Social Interface'!$Z$65)*(1+0.0255+$C$70)^(AK3-1))</f>
        <v>0</v>
      </c>
      <c r="AL59" s="64">
        <f>AL58*(('Green+Social Interface'!$Z$62*'Green+Social Interface'!$Z$65)*(1+0.0255+$C$70)^(AL3-1))</f>
        <v>0</v>
      </c>
      <c r="AM59" s="64">
        <f>AM58*(('Green+Social Interface'!$Z$62*'Green+Social Interface'!$Z$65)*(1+0.0255+$C$70)^(AM3-1))</f>
        <v>0</v>
      </c>
      <c r="AN59" s="64">
        <f>AN58*(('Green+Social Interface'!$Z$62*'Green+Social Interface'!$Z$65)*(1+0.0255+$C$70)^(AN3-1))</f>
        <v>0</v>
      </c>
      <c r="AO59" s="64">
        <f>AO58*(('Green+Social Interface'!$Z$62*'Green+Social Interface'!$Z$65)*(1+0.0255+$C$70)^(AO3-1))</f>
        <v>0</v>
      </c>
      <c r="AP59" s="64">
        <f>AP58*(('Green+Social Interface'!$Z$62*'Green+Social Interface'!$Z$65)*(1+0.0255+$C$70)^(AP3-1))</f>
        <v>0</v>
      </c>
      <c r="AQ59" s="64">
        <f>AQ58*(('Green+Social Interface'!$Z$62*'Green+Social Interface'!$Z$65)*(1+0.0255+$C$70)^(AQ3-1))</f>
        <v>0</v>
      </c>
      <c r="AR59" s="64">
        <f>AR58*(('Green+Social Interface'!$Z$62*'Green+Social Interface'!$Z$65)*(1+0.0255+$C$70)^(AR3-1))</f>
        <v>0</v>
      </c>
      <c r="AS59" s="64">
        <f>AS58*(('Green+Social Interface'!$Z$62*'Green+Social Interface'!$Z$65)*(1+0.0255+$C$70)^(AS3-1))</f>
        <v>0</v>
      </c>
      <c r="AT59" s="64">
        <f>AT58*(('Green+Social Interface'!$Z$62*'Green+Social Interface'!$Z$65)*(1+0.0255+$C$70)^(AT3-1))</f>
        <v>0</v>
      </c>
      <c r="AU59" s="64">
        <f>AU58*(('Green+Social Interface'!$Z$62*'Green+Social Interface'!$Z$65)*(1+0.0255+$C$70)^(AU3-1))</f>
        <v>0</v>
      </c>
      <c r="AV59" s="64">
        <f>AV58*(('Green+Social Interface'!$Z$62*'Green+Social Interface'!$Z$65)*(1+0.0255+$C$70)^(AV3-1))</f>
        <v>0</v>
      </c>
      <c r="AW59" s="64">
        <f>AW58*(('Green+Social Interface'!$Z$62*'Green+Social Interface'!$Z$65)*(1+0.0255+$C$70)^(AW3-1))</f>
        <v>0</v>
      </c>
      <c r="AX59" s="64">
        <f>AX58*(('Green+Social Interface'!$Z$62*'Green+Social Interface'!$Z$65)*(1+0.0255+$C$70)^(AX3-1))</f>
        <v>0</v>
      </c>
      <c r="AY59" s="64">
        <f>AY58*(('Green+Social Interface'!$Z$62*'Green+Social Interface'!$Z$65)*(1+0.0255+$C$70)^(AY3-1))</f>
        <v>0</v>
      </c>
      <c r="AZ59" s="64">
        <f>AZ58*(('Green+Social Interface'!$Z$62*'Green+Social Interface'!$Z$65)*(1+0.0255+$C$70)^(AZ3-1))</f>
        <v>0</v>
      </c>
    </row>
    <row r="60" spans="2:52" ht="15">
      <c r="B60" s="57" t="s">
        <v>516</v>
      </c>
      <c r="C60" s="57" t="s">
        <v>647</v>
      </c>
      <c r="D60" s="58" t="s">
        <v>67</v>
      </c>
      <c r="E60" s="58"/>
      <c r="F60" s="59"/>
      <c r="G60" s="60"/>
      <c r="H60" s="61"/>
      <c r="I60" s="62"/>
      <c r="J60" s="343">
        <f>IF(AND(K60&gt;0,$C$67&gt;0),K60/$C$67,0)</f>
        <v>0</v>
      </c>
      <c r="K60" s="63">
        <f aca="true" t="shared" si="42" ref="K60">AVERAGE(M60:AZ60)</f>
        <v>0</v>
      </c>
      <c r="L60" s="63">
        <f aca="true" t="shared" si="43" ref="L60">SUM(M60:AZ60)</f>
        <v>0</v>
      </c>
      <c r="M60" s="65">
        <f>M58*(('Green+Social Interface'!$Z$62*'Green+Social Interface'!$Z$65)*(1+0.0255))</f>
        <v>0</v>
      </c>
      <c r="N60" s="64">
        <f>N58*(('Green+Social Interface'!$Z$62*'Green+Social Interface'!$Z$65)*(1+0.0255)^(N$3-1))</f>
        <v>0</v>
      </c>
      <c r="O60" s="64">
        <f>O58*(('Green+Social Interface'!$Z$62*'Green+Social Interface'!$Z$65)*(1+0.0255)^(O$3-1))</f>
        <v>0</v>
      </c>
      <c r="P60" s="64">
        <f>P58*(('Green+Social Interface'!$Z$62*'Green+Social Interface'!$Z$65)*(1+0.0255)^(P$3-1))</f>
        <v>0</v>
      </c>
      <c r="Q60" s="64">
        <f>Q58*(('Green+Social Interface'!$Z$62*'Green+Social Interface'!$Z$65)*(1+0.0255)^(Q$3-1))</f>
        <v>0</v>
      </c>
      <c r="R60" s="64">
        <f>R58*(('Green+Social Interface'!$Z$62*'Green+Social Interface'!$Z$65)*(1+0.0255)^(R$3-1))</f>
        <v>0</v>
      </c>
      <c r="S60" s="64">
        <f>S58*(('Green+Social Interface'!$Z$62*'Green+Social Interface'!$Z$65)*(1+0.0255)^(S$3-1))</f>
        <v>0</v>
      </c>
      <c r="T60" s="64">
        <f>T58*(('Green+Social Interface'!$Z$62*'Green+Social Interface'!$Z$65)*(1+0.0255)^(T$3-1))</f>
        <v>0</v>
      </c>
      <c r="U60" s="64">
        <f>U58*(('Green+Social Interface'!$Z$62*'Green+Social Interface'!$Z$65)*(1+0.0255)^(U$3-1))</f>
        <v>0</v>
      </c>
      <c r="V60" s="64">
        <f>V58*(('Green+Social Interface'!$Z$62*'Green+Social Interface'!$Z$65)*(1+0.0255)^(V$3-1))</f>
        <v>0</v>
      </c>
      <c r="W60" s="64">
        <f>W58*(('Green+Social Interface'!$Z$62*'Green+Social Interface'!$Z$65)*(1+0.0255)^(W$3-1))</f>
        <v>0</v>
      </c>
      <c r="X60" s="64">
        <f>X58*(('Green+Social Interface'!$Z$62*'Green+Social Interface'!$Z$65)*(1+0.0255)^(X$3-1))</f>
        <v>0</v>
      </c>
      <c r="Y60" s="64">
        <f>Y58*(('Green+Social Interface'!$Z$62*'Green+Social Interface'!$Z$65)*(1+0.0255)^(Y$3-1))</f>
        <v>0</v>
      </c>
      <c r="Z60" s="64">
        <f>Z58*(('Green+Social Interface'!$Z$62*'Green+Social Interface'!$Z$65)*(1+0.0255)^(Z$3-1))</f>
        <v>0</v>
      </c>
      <c r="AA60" s="64">
        <f>AA58*(('Green+Social Interface'!$Z$62*'Green+Social Interface'!$Z$65)*(1+0.0255)^(AA$3-1))</f>
        <v>0</v>
      </c>
      <c r="AB60" s="64">
        <f>AB58*(('Green+Social Interface'!$Z$62*'Green+Social Interface'!$Z$65)*(1+0.0255)^(AB$3-1))</f>
        <v>0</v>
      </c>
      <c r="AC60" s="64">
        <f>AC58*(('Green+Social Interface'!$Z$62*'Green+Social Interface'!$Z$65)*(1+0.0255)^(AC$3-1))</f>
        <v>0</v>
      </c>
      <c r="AD60" s="64">
        <f>AD58*(('Green+Social Interface'!$Z$62*'Green+Social Interface'!$Z$65)*(1+0.0255)^(AD$3-1))</f>
        <v>0</v>
      </c>
      <c r="AE60" s="64">
        <f>AE58*(('Green+Social Interface'!$Z$62*'Green+Social Interface'!$Z$65)*(1+0.0255)^(AE$3-1))</f>
        <v>0</v>
      </c>
      <c r="AF60" s="64">
        <f>AF58*(('Green+Social Interface'!$Z$62*'Green+Social Interface'!$Z$65)*(1+0.0255)^(AF$3-1))</f>
        <v>0</v>
      </c>
      <c r="AG60" s="64">
        <f>AG58*(('Green+Social Interface'!$Z$62*'Green+Social Interface'!$Z$65)*(1+0.0255)^(AG$3-1))</f>
        <v>0</v>
      </c>
      <c r="AH60" s="64">
        <f>AH58*(('Green+Social Interface'!$Z$62*'Green+Social Interface'!$Z$65)*(1+0.0255)^(AH$3-1))</f>
        <v>0</v>
      </c>
      <c r="AI60" s="64">
        <f>AI58*(('Green+Social Interface'!$Z$62*'Green+Social Interface'!$Z$65)*(1+0.0255)^(AI$3-1))</f>
        <v>0</v>
      </c>
      <c r="AJ60" s="64">
        <f>AJ58*(('Green+Social Interface'!$Z$62*'Green+Social Interface'!$Z$65)*(1+0.0255)^(AJ$3-1))</f>
        <v>0</v>
      </c>
      <c r="AK60" s="64">
        <f>AK58*(('Green+Social Interface'!$Z$62*'Green+Social Interface'!$Z$65)*(1+0.0255)^(AK$3-1))</f>
        <v>0</v>
      </c>
      <c r="AL60" s="64">
        <f>AL58*(('Green+Social Interface'!$Z$62*'Green+Social Interface'!$Z$65)*(1+0.0255)^(AL$3-1))</f>
        <v>0</v>
      </c>
      <c r="AM60" s="64">
        <f>AM58*(('Green+Social Interface'!$Z$62*'Green+Social Interface'!$Z$65)*(1+0.0255)^(AM$3-1))</f>
        <v>0</v>
      </c>
      <c r="AN60" s="64">
        <f>AN58*(('Green+Social Interface'!$Z$62*'Green+Social Interface'!$Z$65)*(1+0.0255)^(AN$3-1))</f>
        <v>0</v>
      </c>
      <c r="AO60" s="64">
        <f>AO58*(('Green+Social Interface'!$Z$62*'Green+Social Interface'!$Z$65)*(1+0.0255)^(AO$3-1))</f>
        <v>0</v>
      </c>
      <c r="AP60" s="64">
        <f>AP58*(('Green+Social Interface'!$Z$62*'Green+Social Interface'!$Z$65)*(1+0.0255)^(AP$3-1))</f>
        <v>0</v>
      </c>
      <c r="AQ60" s="64">
        <f>AQ58*(('Green+Social Interface'!$Z$62*'Green+Social Interface'!$Z$65)*(1+0.0255)^(AQ$3-1))</f>
        <v>0</v>
      </c>
      <c r="AR60" s="64">
        <f>AR58*(('Green+Social Interface'!$Z$62*'Green+Social Interface'!$Z$65)*(1+0.0255)^(AR$3-1))</f>
        <v>0</v>
      </c>
      <c r="AS60" s="64">
        <f>AS58*(('Green+Social Interface'!$Z$62*'Green+Social Interface'!$Z$65)*(1+0.0255)^(AS$3-1))</f>
        <v>0</v>
      </c>
      <c r="AT60" s="64">
        <f>AT58*(('Green+Social Interface'!$Z$62*'Green+Social Interface'!$Z$65)*(1+0.0255)^(AT$3-1))</f>
        <v>0</v>
      </c>
      <c r="AU60" s="64">
        <f>AU58*(('Green+Social Interface'!$Z$62*'Green+Social Interface'!$Z$65)*(1+0.0255)^(AU$3-1))</f>
        <v>0</v>
      </c>
      <c r="AV60" s="64">
        <f>AV58*(('Green+Social Interface'!$Z$62*'Green+Social Interface'!$Z$65)*(1+0.0255)^(AV$3-1))</f>
        <v>0</v>
      </c>
      <c r="AW60" s="64">
        <f>AW58*(('Green+Social Interface'!$Z$62*'Green+Social Interface'!$Z$65)*(1+0.0255)^(AW$3-1))</f>
        <v>0</v>
      </c>
      <c r="AX60" s="64">
        <f>AX58*(('Green+Social Interface'!$Z$62*'Green+Social Interface'!$Z$65)*(1+0.0255)^(AX$3-1))</f>
        <v>0</v>
      </c>
      <c r="AY60" s="64">
        <f>AY58*(('Green+Social Interface'!$Z$62*'Green+Social Interface'!$Z$65)*(1+0.0255)^(AY$3-1))</f>
        <v>0</v>
      </c>
      <c r="AZ60" s="64">
        <f>AZ58*(('Green+Social Interface'!$Z$62*'Green+Social Interface'!$Z$65)*(1+0.0255)^(AZ$3-1))</f>
        <v>0</v>
      </c>
    </row>
    <row r="61" spans="2:52" ht="15">
      <c r="B61" s="24"/>
      <c r="C61" s="25"/>
      <c r="D61" s="25"/>
      <c r="E61" s="26"/>
      <c r="F61" s="27"/>
      <c r="G61" s="20"/>
      <c r="H61" s="21"/>
      <c r="I61" s="22"/>
      <c r="J61" s="32"/>
      <c r="K61" s="32"/>
      <c r="L61" s="152"/>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row>
    <row r="62" spans="2:52" ht="15">
      <c r="B62" s="41" t="s">
        <v>517</v>
      </c>
      <c r="C62" s="42"/>
      <c r="D62" s="42"/>
      <c r="E62" s="43"/>
      <c r="F62" s="44"/>
      <c r="G62" s="45"/>
      <c r="H62" s="46"/>
      <c r="I62" s="3"/>
      <c r="J62" s="163"/>
      <c r="K62" s="163"/>
      <c r="L62" s="48"/>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8"/>
    </row>
    <row r="63" spans="2:52" ht="15">
      <c r="B63" s="57" t="s">
        <v>518</v>
      </c>
      <c r="C63" s="58"/>
      <c r="D63" s="58"/>
      <c r="E63" s="59"/>
      <c r="F63" s="60"/>
      <c r="G63" s="61"/>
      <c r="H63" s="62"/>
      <c r="I63" s="2"/>
      <c r="J63" s="63">
        <f>IF(AND(K63&gt;0,$C$67&gt;0),K63/$C$67,0)</f>
        <v>0</v>
      </c>
      <c r="K63" s="63">
        <f aca="true" t="shared" si="44" ref="K63">AVERAGE(M63:AZ63)</f>
        <v>0</v>
      </c>
      <c r="L63" s="65">
        <f>SUM(M63:AZ63)</f>
        <v>0</v>
      </c>
      <c r="M63" s="64">
        <f>M27+'Green Infrastructure'!M47</f>
        <v>0</v>
      </c>
      <c r="N63" s="64">
        <f>N27+'Green Infrastructure'!N47</f>
        <v>0</v>
      </c>
      <c r="O63" s="64">
        <f>O27+'Green Infrastructure'!O47</f>
        <v>0</v>
      </c>
      <c r="P63" s="64">
        <f>P27+'Green Infrastructure'!P47</f>
        <v>0</v>
      </c>
      <c r="Q63" s="64">
        <f>Q27+'Green Infrastructure'!Q47</f>
        <v>0</v>
      </c>
      <c r="R63" s="64">
        <f>R27+'Green Infrastructure'!R47</f>
        <v>0</v>
      </c>
      <c r="S63" s="64">
        <f>S27+'Green Infrastructure'!S47</f>
        <v>0</v>
      </c>
      <c r="T63" s="64">
        <f>T27+'Green Infrastructure'!T47</f>
        <v>0</v>
      </c>
      <c r="U63" s="64">
        <f>U27+'Green Infrastructure'!U47</f>
        <v>0</v>
      </c>
      <c r="V63" s="64">
        <f>V27+'Green Infrastructure'!V47</f>
        <v>0</v>
      </c>
      <c r="W63" s="64">
        <f>W27+'Green Infrastructure'!W47</f>
        <v>0</v>
      </c>
      <c r="X63" s="64">
        <f>X27+'Green Infrastructure'!X47</f>
        <v>0</v>
      </c>
      <c r="Y63" s="64">
        <f>Y27+'Green Infrastructure'!Y47</f>
        <v>0</v>
      </c>
      <c r="Z63" s="64">
        <f>Z27+'Green Infrastructure'!Z47</f>
        <v>0</v>
      </c>
      <c r="AA63" s="64">
        <f>AA27+'Green Infrastructure'!AA47</f>
        <v>0</v>
      </c>
      <c r="AB63" s="64">
        <f>AB27+'Green Infrastructure'!AB47</f>
        <v>0</v>
      </c>
      <c r="AC63" s="64">
        <f>AC27+'Green Infrastructure'!AC47</f>
        <v>0</v>
      </c>
      <c r="AD63" s="64">
        <f>AD27+'Green Infrastructure'!AD47</f>
        <v>0</v>
      </c>
      <c r="AE63" s="64">
        <f>AE27+'Green Infrastructure'!AE47</f>
        <v>0</v>
      </c>
      <c r="AF63" s="64">
        <f>AF27+'Green Infrastructure'!AF47</f>
        <v>0</v>
      </c>
      <c r="AG63" s="64">
        <f>AG27+'Green Infrastructure'!AG47</f>
        <v>0</v>
      </c>
      <c r="AH63" s="64">
        <f>AH27+'Green Infrastructure'!AH47</f>
        <v>0</v>
      </c>
      <c r="AI63" s="64">
        <f>AI27+'Green Infrastructure'!AI47</f>
        <v>0</v>
      </c>
      <c r="AJ63" s="64">
        <f>AJ27+'Green Infrastructure'!AJ47</f>
        <v>0</v>
      </c>
      <c r="AK63" s="64">
        <f>AK27+'Green Infrastructure'!AK47</f>
        <v>0</v>
      </c>
      <c r="AL63" s="64">
        <f>AL27+'Green Infrastructure'!AL47</f>
        <v>0</v>
      </c>
      <c r="AM63" s="64">
        <f>AM27+'Green Infrastructure'!AM47</f>
        <v>0</v>
      </c>
      <c r="AN63" s="64">
        <f>AN27+'Green Infrastructure'!AN47</f>
        <v>0</v>
      </c>
      <c r="AO63" s="64">
        <f>AO27+'Green Infrastructure'!AO47</f>
        <v>0</v>
      </c>
      <c r="AP63" s="64">
        <f>AP27+'Green Infrastructure'!AP47</f>
        <v>0</v>
      </c>
      <c r="AQ63" s="64">
        <f>AQ27+'Green Infrastructure'!AQ47</f>
        <v>0</v>
      </c>
      <c r="AR63" s="64">
        <f>AR27+'Green Infrastructure'!AR47</f>
        <v>0</v>
      </c>
      <c r="AS63" s="64">
        <f>AS27+'Green Infrastructure'!AS47</f>
        <v>0</v>
      </c>
      <c r="AT63" s="64">
        <f>AT27+'Green Infrastructure'!AT47</f>
        <v>0</v>
      </c>
      <c r="AU63" s="64">
        <f>AU27+'Green Infrastructure'!AU47</f>
        <v>0</v>
      </c>
      <c r="AV63" s="64">
        <f>AV27+'Green Infrastructure'!AV47</f>
        <v>0</v>
      </c>
      <c r="AW63" s="64">
        <f>AW27+'Green Infrastructure'!AW47</f>
        <v>0</v>
      </c>
      <c r="AX63" s="64">
        <f>AX27+'Green Infrastructure'!AX47</f>
        <v>0</v>
      </c>
      <c r="AY63" s="64">
        <f>AY27+'Green Infrastructure'!AY47</f>
        <v>0</v>
      </c>
      <c r="AZ63" s="64">
        <f>AZ27+'Green Infrastructure'!AZ47</f>
        <v>0</v>
      </c>
    </row>
    <row r="64" spans="2:52" ht="4.5" customHeight="1">
      <c r="B64" s="72"/>
      <c r="C64" s="10"/>
      <c r="D64" s="10"/>
      <c r="E64" s="10"/>
      <c r="F64" s="10"/>
      <c r="G64" s="10"/>
      <c r="H64" s="73"/>
      <c r="I64" s="10"/>
      <c r="J64" s="164"/>
      <c r="K64" s="164"/>
      <c r="L64" s="155"/>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row>
    <row r="65" spans="2:12" ht="15">
      <c r="B65" s="10"/>
      <c r="C65" s="10"/>
      <c r="D65" s="10"/>
      <c r="E65" s="10"/>
      <c r="F65" s="10"/>
      <c r="G65" s="10"/>
      <c r="H65" s="10"/>
      <c r="I65" s="10"/>
      <c r="J65" s="10"/>
      <c r="K65" s="10"/>
      <c r="L65" s="142"/>
    </row>
    <row r="66" spans="2:12" ht="15">
      <c r="B66" s="10" t="s">
        <v>255</v>
      </c>
      <c r="C66" s="10"/>
      <c r="D66" s="10"/>
      <c r="E66" s="10"/>
      <c r="F66" s="10"/>
      <c r="G66" s="10"/>
      <c r="H66" s="10"/>
      <c r="I66" s="10"/>
      <c r="J66" s="10"/>
      <c r="K66" s="10"/>
      <c r="L66" s="142"/>
    </row>
    <row r="67" spans="2:12" ht="15">
      <c r="B67" t="s">
        <v>504</v>
      </c>
      <c r="C67">
        <f>SUM('Green+Social Interface'!D18:D22,'Green+Social Interface'!I18:I22,'Green+Social Interface'!O18:O22,'Green+Social Interface'!T18:T22)</f>
        <v>0</v>
      </c>
      <c r="D67" s="10"/>
      <c r="E67" s="10"/>
      <c r="F67" s="10"/>
      <c r="G67" s="10"/>
      <c r="H67" s="10"/>
      <c r="I67" s="10"/>
      <c r="J67" s="10"/>
      <c r="K67" s="10"/>
      <c r="L67" s="142"/>
    </row>
    <row r="68" spans="2:12" ht="15">
      <c r="B68" t="s">
        <v>505</v>
      </c>
      <c r="C68" s="107">
        <f>SUM($E$6:$E$25)</f>
        <v>0</v>
      </c>
      <c r="D68" s="10"/>
      <c r="E68" s="10"/>
      <c r="F68" s="10"/>
      <c r="G68" s="10"/>
      <c r="H68" s="10"/>
      <c r="I68" s="10"/>
      <c r="J68" s="10"/>
      <c r="K68" s="10"/>
      <c r="L68" s="142"/>
    </row>
    <row r="69" spans="2:12" ht="15">
      <c r="B69" t="s">
        <v>508</v>
      </c>
      <c r="C69" s="107" t="e">
        <f>C68/C67</f>
        <v>#DIV/0!</v>
      </c>
      <c r="D69" s="10"/>
      <c r="E69" s="10"/>
      <c r="F69" s="10"/>
      <c r="G69" s="10"/>
      <c r="H69" s="10"/>
      <c r="I69" s="10"/>
      <c r="J69" s="10"/>
      <c r="K69" s="10"/>
      <c r="L69" s="142"/>
    </row>
    <row r="70" spans="2:12" ht="15">
      <c r="B70" t="s">
        <v>507</v>
      </c>
      <c r="C70" s="22">
        <f>'Green+Social Interface'!I35</f>
        <v>0.025</v>
      </c>
      <c r="D70" s="10"/>
      <c r="E70" s="10"/>
      <c r="F70" s="10"/>
      <c r="G70" s="10"/>
      <c r="H70" s="10"/>
      <c r="I70" s="10"/>
      <c r="J70" s="10"/>
      <c r="K70" s="10"/>
      <c r="L70" s="142"/>
    </row>
    <row r="71" spans="2:12" ht="15">
      <c r="B71" s="10"/>
      <c r="C71" s="10"/>
      <c r="D71" s="10"/>
      <c r="E71" s="10"/>
      <c r="F71" s="10"/>
      <c r="G71" s="10"/>
      <c r="H71" s="10"/>
      <c r="I71" s="10"/>
      <c r="J71" s="10"/>
      <c r="K71" s="10"/>
      <c r="L71" s="142"/>
    </row>
    <row r="72" spans="2:12" ht="15">
      <c r="B72" s="10"/>
      <c r="C72" s="10"/>
      <c r="D72" s="10"/>
      <c r="E72" s="10"/>
      <c r="F72" s="10"/>
      <c r="G72" s="10"/>
      <c r="H72" s="10"/>
      <c r="I72" s="10"/>
      <c r="J72" s="10"/>
      <c r="K72" s="10"/>
      <c r="L72" s="142"/>
    </row>
    <row r="74" spans="2:7" ht="15">
      <c r="B74" t="s">
        <v>482</v>
      </c>
      <c r="D74" t="s">
        <v>483</v>
      </c>
      <c r="G74" t="s">
        <v>484</v>
      </c>
    </row>
    <row r="75" spans="2:7" ht="15">
      <c r="B75" t="s">
        <v>487</v>
      </c>
      <c r="C75" t="s">
        <v>24</v>
      </c>
      <c r="D75">
        <f>VLOOKUP('Green+Social Interface'!$D$39,'Look-ups_2'!$B$4:$AU$113,42,FALSE)</f>
        <v>15.941891998156807</v>
      </c>
      <c r="G75">
        <f>VLOOKUP('Green+Social Interface'!$D$38,'Look-ups'!$A$123:$H$130,8,FALSE)</f>
        <v>0.22042617142857143</v>
      </c>
    </row>
    <row r="76" spans="2:4" ht="15">
      <c r="B76" t="s">
        <v>494</v>
      </c>
      <c r="C76" t="s">
        <v>24</v>
      </c>
      <c r="D76">
        <f>VLOOKUP('Green+Social Interface'!$D$39,'Look-ups_2'!$B$4:$AU$113,46,FALSE)</f>
        <v>19.440864751781238</v>
      </c>
    </row>
    <row r="78" spans="4:9" ht="15">
      <c r="D78" t="s">
        <v>485</v>
      </c>
      <c r="E78" t="s">
        <v>454</v>
      </c>
      <c r="F78" t="s">
        <v>483</v>
      </c>
      <c r="G78" t="s">
        <v>486</v>
      </c>
      <c r="I78" s="318" t="s">
        <v>576</v>
      </c>
    </row>
    <row r="79" spans="2:9" ht="15">
      <c r="B79" t="s">
        <v>488</v>
      </c>
      <c r="C79" t="s">
        <v>489</v>
      </c>
      <c r="D79">
        <f>VLOOKUP(VLOOKUP('Green+Social Interface'!$D$39,'Look-ups_2'!$B$4:$AC$113,28,FALSE),'Look-ups'!$A$50:$AO$118,IF('Green+Social Interface'!$D$25&lt;&gt;"",'Green+Social Interface'!$D$25*4,7*4),FALSE)*0.277778</f>
        <v>40.05466017723243</v>
      </c>
      <c r="E79">
        <f>VLOOKUP(IF('Green+Social Interface'!$D$27&lt;&gt;"",'Green+Social Interface'!$D$27,5),'Look-ups'!$A$144:$B$164,2,FALSE)</f>
        <v>6.75</v>
      </c>
      <c r="F79">
        <f>D79/E79*G$75</f>
        <v>1.308014131961453</v>
      </c>
      <c r="G79">
        <f>SUM(F79:F80)</f>
        <v>1.4604379420119704</v>
      </c>
      <c r="I79" s="318">
        <f>D$75-G79</f>
        <v>14.481454056144837</v>
      </c>
    </row>
    <row r="80" spans="2:6" ht="15">
      <c r="B80" t="s">
        <v>491</v>
      </c>
      <c r="C80" t="s">
        <v>490</v>
      </c>
      <c r="D80">
        <f>VLOOKUP(VLOOKUP('Green+Social Interface'!$D$39,'Look-ups_2'!$B$4:$AC$113,28,FALSE),'Look-ups'!$A$50:$AO$118,IF('Green+Social Interface'!$D$25&lt;&gt;"",'Green+Social Interface'!$D$25*4+1,7*4+1),FALSE)*0.277778</f>
        <v>4.667597822767576</v>
      </c>
      <c r="E80">
        <f>VLOOKUP(IF('Green+Social Interface'!$D$26&lt;&gt;"",'Green+Social Interface'!$D$26,5),'Look-ups'!$A$144:$B$164,2,FALSE)</f>
        <v>6.75</v>
      </c>
      <c r="F80">
        <f>D80/E80*G$75</f>
        <v>0.1524238100505174</v>
      </c>
    </row>
    <row r="81" spans="3:11" ht="15">
      <c r="C81" t="s">
        <v>495</v>
      </c>
      <c r="D81">
        <f>(D79/E79+D80/E80)*VLOOKUP('Green+Social Interface'!$D$38,'Look-ups'!$A$123:$M$130,13,FALSE)</f>
        <v>1.6245774313481482</v>
      </c>
      <c r="I81">
        <f>D81*30</f>
        <v>48.73732294044445</v>
      </c>
      <c r="J81">
        <f>I81/1000</f>
        <v>0.04873732294044445</v>
      </c>
      <c r="K81">
        <f>J81*100</f>
        <v>4.873732294044445</v>
      </c>
    </row>
    <row r="82" spans="3:4" ht="15">
      <c r="C82" s="318" t="s">
        <v>575</v>
      </c>
      <c r="D82" s="318">
        <f>D$76-D81</f>
        <v>17.81628732043309</v>
      </c>
    </row>
    <row r="83" spans="4:9" ht="15">
      <c r="D83" t="s">
        <v>485</v>
      </c>
      <c r="E83" t="s">
        <v>454</v>
      </c>
      <c r="F83" t="s">
        <v>483</v>
      </c>
      <c r="G83" t="s">
        <v>486</v>
      </c>
      <c r="I83" s="318" t="s">
        <v>576</v>
      </c>
    </row>
    <row r="84" spans="2:9" ht="15">
      <c r="B84" t="s">
        <v>488</v>
      </c>
      <c r="C84" t="s">
        <v>489</v>
      </c>
      <c r="D84">
        <f>VLOOKUP(VLOOKUP('Green+Social Interface'!$D$39,'Look-ups_2'!$B$4:$AC$113,28,FALSE),'Look-ups'!$A$50:$AO$118,IF('Green+Social Interface'!$I$25&lt;&gt;"",'Green+Social Interface'!$I$25*4,7*4),FALSE)*0.277778</f>
        <v>40.05466017723243</v>
      </c>
      <c r="E84">
        <f>VLOOKUP(IF('Green+Social Interface'!$I$27&lt;&gt;"",'Green+Social Interface'!$I$27,5),'Look-ups'!$A$144:$B$164,2,FALSE)</f>
        <v>6.75</v>
      </c>
      <c r="F84">
        <f>D84/E84*G$75</f>
        <v>1.308014131961453</v>
      </c>
      <c r="G84">
        <f>SUM(F84:F85)</f>
        <v>1.4604379420119704</v>
      </c>
      <c r="I84" s="318">
        <f>D$75-G84</f>
        <v>14.481454056144837</v>
      </c>
    </row>
    <row r="85" spans="2:6" ht="15">
      <c r="B85" t="s">
        <v>492</v>
      </c>
      <c r="C85" t="s">
        <v>490</v>
      </c>
      <c r="D85">
        <f>VLOOKUP(VLOOKUP('Green+Social Interface'!$D$39,'Look-ups_2'!$B$4:$AC$113,28,FALSE),'Look-ups'!$A$50:$AO$118,IF('Green+Social Interface'!$I$25&lt;&gt;"",'Green+Social Interface'!$I$25*4+1,7*4+1),FALSE)*0.277778</f>
        <v>4.667597822767576</v>
      </c>
      <c r="E85">
        <f>VLOOKUP(IF('Green+Social Interface'!$I$26&lt;&gt;"",'Green+Social Interface'!$I$26,5),'Look-ups'!$A$144:$B$164,2,FALSE)</f>
        <v>6.75</v>
      </c>
      <c r="F85">
        <f>D85/E85*G$75</f>
        <v>0.1524238100505174</v>
      </c>
    </row>
    <row r="86" spans="3:4" ht="15">
      <c r="C86" t="s">
        <v>495</v>
      </c>
      <c r="D86">
        <f>(D84/E84+D85/E85)*VLOOKUP('Green+Social Interface'!$D$38,'Look-ups'!$A$123:$M$130,13,FALSE)</f>
        <v>1.6245774313481482</v>
      </c>
    </row>
    <row r="87" spans="3:4" ht="15">
      <c r="C87" s="318" t="s">
        <v>575</v>
      </c>
      <c r="D87" s="318">
        <f>D$76-D86</f>
        <v>17.81628732043309</v>
      </c>
    </row>
    <row r="88" spans="4:9" ht="15">
      <c r="D88" t="s">
        <v>485</v>
      </c>
      <c r="E88" t="s">
        <v>454</v>
      </c>
      <c r="F88" t="s">
        <v>483</v>
      </c>
      <c r="G88" t="s">
        <v>486</v>
      </c>
      <c r="I88" s="318" t="s">
        <v>576</v>
      </c>
    </row>
    <row r="89" spans="2:9" ht="15">
      <c r="B89" t="s">
        <v>493</v>
      </c>
      <c r="C89" t="s">
        <v>489</v>
      </c>
      <c r="D89">
        <f>VLOOKUP(VLOOKUP('Green+Social Interface'!$D$39,'Look-ups_2'!$B$4:$AC$113,28,FALSE),'Look-ups'!$A$50:$AO$118,IF('Green+Social Interface'!$O$25&lt;&gt;"",'Green+Social Interface'!$O$25*4,7*4),FALSE)*0.277778</f>
        <v>40.05466017723243</v>
      </c>
      <c r="E89">
        <f>VLOOKUP(IF('Green+Social Interface'!$O$27&lt;&gt;"",'Green+Social Interface'!$O$27,5),'Look-ups'!$A$144:$B$164,2,FALSE)</f>
        <v>6.75</v>
      </c>
      <c r="F89">
        <f>D89/E89*G$75</f>
        <v>1.308014131961453</v>
      </c>
      <c r="G89">
        <f>SUM(F89:F90)</f>
        <v>1.4604379420119704</v>
      </c>
      <c r="I89" s="318">
        <f>D$75-G89</f>
        <v>14.481454056144837</v>
      </c>
    </row>
    <row r="90" spans="2:6" ht="15">
      <c r="B90" t="s">
        <v>491</v>
      </c>
      <c r="C90" t="s">
        <v>490</v>
      </c>
      <c r="D90">
        <f>VLOOKUP(VLOOKUP('Green+Social Interface'!$D$39,'Look-ups_2'!$B$4:$AC$113,28,FALSE),'Look-ups'!$A$50:$AO$118,IF('Green+Social Interface'!$O$25&lt;&gt;"",'Green+Social Interface'!$O$25*4+1,7*4+1),FALSE)*0.277778</f>
        <v>4.667597822767576</v>
      </c>
      <c r="E90">
        <f>VLOOKUP(IF('Green+Social Interface'!$O$26&lt;&gt;"",'Green+Social Interface'!$O$26,5),'Look-ups'!$A$144:$B$164,2,FALSE)</f>
        <v>6.75</v>
      </c>
      <c r="F90">
        <f>D90/E90*G$75</f>
        <v>0.1524238100505174</v>
      </c>
    </row>
    <row r="91" spans="3:4" ht="15">
      <c r="C91" t="s">
        <v>495</v>
      </c>
      <c r="D91">
        <f>(D89/E89+D90/E90)*VLOOKUP('Green+Social Interface'!$D$38,'Look-ups'!$A$123:$M$130,13,FALSE)</f>
        <v>1.6245774313481482</v>
      </c>
    </row>
    <row r="92" spans="3:4" ht="15">
      <c r="C92" s="318" t="s">
        <v>575</v>
      </c>
      <c r="D92" s="318">
        <f>D$76-D91</f>
        <v>17.81628732043309</v>
      </c>
    </row>
    <row r="93" spans="4:9" ht="15">
      <c r="D93" t="s">
        <v>485</v>
      </c>
      <c r="E93" t="s">
        <v>454</v>
      </c>
      <c r="F93" t="s">
        <v>483</v>
      </c>
      <c r="G93" t="s">
        <v>486</v>
      </c>
      <c r="I93" s="318" t="s">
        <v>576</v>
      </c>
    </row>
    <row r="94" spans="2:9" ht="15">
      <c r="B94" t="s">
        <v>493</v>
      </c>
      <c r="C94" t="s">
        <v>489</v>
      </c>
      <c r="D94">
        <f>VLOOKUP(VLOOKUP('Green+Social Interface'!$D$39,'Look-ups_2'!$B$4:$AC$113,28,FALSE),'Look-ups'!$A$50:$AO$118,IF('Green+Social Interface'!$T$25&lt;&gt;"",'Green+Social Interface'!$T$25*4,7*4),FALSE)*0.277778</f>
        <v>40.05466017723243</v>
      </c>
      <c r="E94">
        <f>VLOOKUP(IF('Green+Social Interface'!$T$27&lt;&gt;"",'Green+Social Interface'!$T$27,5),'Look-ups'!$A$144:$B$164,2,FALSE)</f>
        <v>6.75</v>
      </c>
      <c r="F94">
        <f>D94/E94*G$75</f>
        <v>1.308014131961453</v>
      </c>
      <c r="G94">
        <f>SUM(F94:F95)</f>
        <v>1.4604379420119704</v>
      </c>
      <c r="I94" s="318">
        <f>D$75-G94</f>
        <v>14.481454056144837</v>
      </c>
    </row>
    <row r="95" spans="2:6" ht="15">
      <c r="B95" t="s">
        <v>492</v>
      </c>
      <c r="C95" t="s">
        <v>490</v>
      </c>
      <c r="D95">
        <f>VLOOKUP(VLOOKUP('Green+Social Interface'!$D$39,'Look-ups_2'!$B$4:$AC$113,28,FALSE),'Look-ups'!$A$50:$AO$118,IF('Green+Social Interface'!$T$25&lt;&gt;"",'Green+Social Interface'!$T$25*4+1,7*4+1),FALSE)*0.277778</f>
        <v>4.667597822767576</v>
      </c>
      <c r="E95">
        <f>VLOOKUP(IF('Green+Social Interface'!$T$26&lt;&gt;"",'Green+Social Interface'!$T$26,5),'Look-ups'!$A$144:$B$164,2,FALSE)</f>
        <v>6.75</v>
      </c>
      <c r="F95">
        <f>D95/E95*G$75</f>
        <v>0.1524238100505174</v>
      </c>
    </row>
    <row r="96" spans="3:4" ht="15">
      <c r="C96" t="s">
        <v>495</v>
      </c>
      <c r="D96">
        <f>(D94/E94+D95/E95)*VLOOKUP('Green+Social Interface'!$D$38,'Look-ups'!$A$123:$M$130,13,FALSE)</f>
        <v>1.6245774313481482</v>
      </c>
    </row>
    <row r="97" spans="3:4" ht="15">
      <c r="C97" s="318" t="s">
        <v>575</v>
      </c>
      <c r="D97" s="318">
        <f>D$76-D96</f>
        <v>17.81628732043309</v>
      </c>
    </row>
  </sheetData>
  <sheetProtection algorithmName="SHA-512" hashValue="sJTBVejRhigUFUoX2wS1BZI+5HCo/pzY31Gx2cWdedbJzwmmut1rx4qM2hkgsxaEY4ozcEeCJnpU7mTX4AiNaA==" saltValue="Cd+6bz97xeimh59i7a/fuQ==" spinCount="100000" sheet="1" selectLockedCells="1" selectUnlockedCells="1"/>
  <printOptions/>
  <pageMargins left="0.7" right="0.7"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799847602844"/>
  </sheetPr>
  <dimension ref="A3:I44"/>
  <sheetViews>
    <sheetView workbookViewId="0" topLeftCell="A1"/>
  </sheetViews>
  <sheetFormatPr defaultColWidth="8.7109375" defaultRowHeight="15"/>
  <cols>
    <col min="1" max="1" width="13.28125" style="0" bestFit="1" customWidth="1"/>
    <col min="2" max="2" width="26.7109375" style="0" bestFit="1" customWidth="1"/>
    <col min="3" max="3" width="27.421875" style="0" customWidth="1"/>
    <col min="4" max="4" width="32.7109375" style="0" customWidth="1"/>
    <col min="5" max="5" width="41.7109375" style="0" customWidth="1"/>
    <col min="6" max="6" width="39.421875" style="0" customWidth="1"/>
    <col min="7" max="7" width="37.421875" style="0" customWidth="1"/>
    <col min="8" max="8" width="38.421875" style="0" customWidth="1"/>
    <col min="9" max="9" width="21.00390625" style="0" customWidth="1"/>
    <col min="10" max="27" width="6.00390625" style="0" customWidth="1"/>
    <col min="28" max="41" width="7.00390625" style="0" customWidth="1"/>
    <col min="42" max="42" width="11.421875" style="0" bestFit="1" customWidth="1"/>
  </cols>
  <sheetData>
    <row r="3" spans="1:9" ht="15">
      <c r="A3" s="147" t="s">
        <v>140</v>
      </c>
      <c r="B3" t="s">
        <v>142</v>
      </c>
      <c r="C3" t="s">
        <v>143</v>
      </c>
      <c r="D3" t="s">
        <v>144</v>
      </c>
      <c r="E3" t="s">
        <v>145</v>
      </c>
      <c r="F3" t="s">
        <v>146</v>
      </c>
      <c r="G3" t="s">
        <v>147</v>
      </c>
      <c r="H3" t="s">
        <v>148</v>
      </c>
      <c r="I3" t="s">
        <v>149</v>
      </c>
    </row>
    <row r="4" spans="1:9" ht="15">
      <c r="A4" s="148">
        <v>1</v>
      </c>
      <c r="B4" s="77">
        <v>176761.17270400003</v>
      </c>
      <c r="C4" s="77">
        <v>66961.07628000001</v>
      </c>
      <c r="D4" s="77">
        <v>235000.83740800002</v>
      </c>
      <c r="E4" s="77">
        <v>301961.91368800006</v>
      </c>
      <c r="F4" s="77">
        <v>475538.788392</v>
      </c>
      <c r="G4" s="77">
        <v>27599.106304</v>
      </c>
      <c r="H4" s="77">
        <v>142596.41640000002</v>
      </c>
      <c r="I4" s="77">
        <v>62613.60928000001</v>
      </c>
    </row>
    <row r="5" spans="1:9" ht="15">
      <c r="A5" s="148">
        <v>2</v>
      </c>
      <c r="B5" s="77">
        <v>65069.005558079996</v>
      </c>
      <c r="C5" s="77">
        <v>68300.29780560001</v>
      </c>
      <c r="D5" s="77">
        <v>16779.059790931202</v>
      </c>
      <c r="E5" s="77">
        <v>85079.35759653122</v>
      </c>
      <c r="F5" s="77">
        <v>146900.3791946112</v>
      </c>
      <c r="G5" s="77">
        <v>28151.088430079995</v>
      </c>
      <c r="H5" s="77">
        <v>30220.954128</v>
      </c>
      <c r="I5" s="77">
        <v>63865.88146560002</v>
      </c>
    </row>
    <row r="6" spans="1:9" ht="15">
      <c r="A6" s="148">
        <v>3</v>
      </c>
      <c r="B6" s="77">
        <v>66370.3856692416</v>
      </c>
      <c r="C6" s="77">
        <v>69666.30376171201</v>
      </c>
      <c r="D6" s="77">
        <v>17114.640986749826</v>
      </c>
      <c r="E6" s="77">
        <v>86780.94474846184</v>
      </c>
      <c r="F6" s="77">
        <v>149838.38677850342</v>
      </c>
      <c r="G6" s="77">
        <v>28714.110198681596</v>
      </c>
      <c r="H6" s="77">
        <v>30825.373210560003</v>
      </c>
      <c r="I6" s="77">
        <v>65143.199094912015</v>
      </c>
    </row>
    <row r="7" spans="1:9" ht="15">
      <c r="A7" s="148">
        <v>4</v>
      </c>
      <c r="B7" s="77">
        <v>67697.79338262642</v>
      </c>
      <c r="C7" s="77">
        <v>71059.62983694626</v>
      </c>
      <c r="D7" s="77">
        <v>17456.933806484823</v>
      </c>
      <c r="E7" s="77">
        <v>88516.56364343109</v>
      </c>
      <c r="F7" s="77">
        <v>152835.1545140735</v>
      </c>
      <c r="G7" s="77">
        <v>29288.392402655227</v>
      </c>
      <c r="H7" s="77">
        <v>31441.8806747712</v>
      </c>
      <c r="I7" s="77">
        <v>66446.06307681026</v>
      </c>
    </row>
    <row r="8" spans="1:9" ht="15">
      <c r="A8" s="148">
        <v>5</v>
      </c>
      <c r="B8" s="77">
        <v>69051.74925027895</v>
      </c>
      <c r="C8" s="77">
        <v>72480.82243368519</v>
      </c>
      <c r="D8" s="77">
        <v>17806.07248261452</v>
      </c>
      <c r="E8" s="77">
        <v>90286.8949162997</v>
      </c>
      <c r="F8" s="77">
        <v>155891.857604355</v>
      </c>
      <c r="G8" s="77">
        <v>29874.160250708333</v>
      </c>
      <c r="H8" s="77">
        <v>32070.718288266624</v>
      </c>
      <c r="I8" s="77">
        <v>67774.98433834648</v>
      </c>
    </row>
    <row r="9" spans="1:9" ht="15">
      <c r="A9" s="148">
        <v>6</v>
      </c>
      <c r="B9" s="77">
        <v>70432.78423528455</v>
      </c>
      <c r="C9" s="77">
        <v>73930.43888235888</v>
      </c>
      <c r="D9" s="77">
        <v>18162.19393226681</v>
      </c>
      <c r="E9" s="77">
        <v>92092.63281462569</v>
      </c>
      <c r="F9" s="77">
        <v>159009.6947564421</v>
      </c>
      <c r="G9" s="77">
        <v>30471.6434557225</v>
      </c>
      <c r="H9" s="77">
        <v>32712.132654031957</v>
      </c>
      <c r="I9" s="77">
        <v>69130.48402511339</v>
      </c>
    </row>
    <row r="10" spans="1:9" ht="15">
      <c r="A10" s="148">
        <v>7</v>
      </c>
      <c r="B10" s="77">
        <v>71841.43991999024</v>
      </c>
      <c r="C10" s="77">
        <v>75409.04766000606</v>
      </c>
      <c r="D10" s="77">
        <v>18525.43781091215</v>
      </c>
      <c r="E10" s="77">
        <v>93934.48547091821</v>
      </c>
      <c r="F10" s="77">
        <v>162189.88865157092</v>
      </c>
      <c r="G10" s="77">
        <v>31081.07632483695</v>
      </c>
      <c r="H10" s="77">
        <v>33366.37530711259</v>
      </c>
      <c r="I10" s="77">
        <v>70513.09370561567</v>
      </c>
    </row>
    <row r="11" spans="1:9" ht="15">
      <c r="A11" s="148">
        <v>8</v>
      </c>
      <c r="B11" s="77">
        <v>73278.26871839004</v>
      </c>
      <c r="C11" s="77">
        <v>76917.22861320619</v>
      </c>
      <c r="D11" s="77">
        <v>18895.946567130388</v>
      </c>
      <c r="E11" s="77">
        <v>95813.17518033658</v>
      </c>
      <c r="F11" s="77">
        <v>165433.68642460238</v>
      </c>
      <c r="G11" s="77">
        <v>31702.697851333694</v>
      </c>
      <c r="H11" s="77">
        <v>34033.70281325485</v>
      </c>
      <c r="I11" s="77">
        <v>71923.355579728</v>
      </c>
    </row>
    <row r="12" spans="1:9" ht="15">
      <c r="A12" s="148">
        <v>9</v>
      </c>
      <c r="B12" s="77">
        <v>74743.83409275782</v>
      </c>
      <c r="C12" s="77">
        <v>78455.5731854703</v>
      </c>
      <c r="D12" s="77">
        <v>19273.865498473002</v>
      </c>
      <c r="E12" s="77">
        <v>97729.4386839433</v>
      </c>
      <c r="F12" s="77">
        <v>168742.36015309437</v>
      </c>
      <c r="G12" s="77">
        <v>32336.751808360368</v>
      </c>
      <c r="H12" s="77">
        <v>34714.37686951995</v>
      </c>
      <c r="I12" s="77">
        <v>73361.82269132254</v>
      </c>
    </row>
    <row r="13" spans="1:9" ht="15">
      <c r="A13" s="148">
        <v>10</v>
      </c>
      <c r="B13" s="77">
        <v>76238.710774613</v>
      </c>
      <c r="C13" s="77">
        <v>80024.68464917972</v>
      </c>
      <c r="D13" s="77">
        <v>19659.342808442463</v>
      </c>
      <c r="E13" s="77">
        <v>99684.02745762219</v>
      </c>
      <c r="F13" s="77">
        <v>172117.2073561563</v>
      </c>
      <c r="G13" s="77">
        <v>32983.48684452758</v>
      </c>
      <c r="H13" s="77">
        <v>35408.66440691034</v>
      </c>
      <c r="I13" s="77">
        <v>74829.05914514899</v>
      </c>
    </row>
    <row r="14" spans="1:9" ht="15">
      <c r="A14" s="148">
        <v>11</v>
      </c>
      <c r="B14" s="77">
        <v>77763.48499010527</v>
      </c>
      <c r="C14" s="77">
        <v>81625.17834216332</v>
      </c>
      <c r="D14" s="77">
        <v>20052.52966461131</v>
      </c>
      <c r="E14" s="77">
        <v>101677.70800677463</v>
      </c>
      <c r="F14" s="77">
        <v>175559.55150327942</v>
      </c>
      <c r="G14" s="77">
        <v>33643.15658141812</v>
      </c>
      <c r="H14" s="77">
        <v>36116.837695048554</v>
      </c>
      <c r="I14" s="77">
        <v>76325.64032805197</v>
      </c>
    </row>
    <row r="15" spans="1:9" ht="15">
      <c r="A15" s="148">
        <v>12</v>
      </c>
      <c r="B15" s="77">
        <v>79318.75468990736</v>
      </c>
      <c r="C15" s="77">
        <v>83257.6819090066</v>
      </c>
      <c r="D15" s="77">
        <v>20453.580257903537</v>
      </c>
      <c r="E15" s="77">
        <v>103711.26216691014</v>
      </c>
      <c r="F15" s="77">
        <v>179070.742533345</v>
      </c>
      <c r="G15" s="77">
        <v>34316.01971304649</v>
      </c>
      <c r="H15" s="77">
        <v>36839.174448949525</v>
      </c>
      <c r="I15" s="77">
        <v>77852.15313461302</v>
      </c>
    </row>
    <row r="16" spans="1:9" ht="15">
      <c r="A16" s="148">
        <v>13</v>
      </c>
      <c r="B16" s="77">
        <v>80905.12978370552</v>
      </c>
      <c r="C16" s="77">
        <v>84922.83554718673</v>
      </c>
      <c r="D16" s="77">
        <v>20862.651863061612</v>
      </c>
      <c r="E16" s="77">
        <v>105785.48741024834</v>
      </c>
      <c r="F16" s="77">
        <v>182652.15738401192</v>
      </c>
      <c r="G16" s="77">
        <v>35002.34010730742</v>
      </c>
      <c r="H16" s="77">
        <v>37575.95793792852</v>
      </c>
      <c r="I16" s="77">
        <v>79409.19619730528</v>
      </c>
    </row>
    <row r="17" spans="1:9" ht="15">
      <c r="A17" s="148">
        <v>14</v>
      </c>
      <c r="B17" s="77">
        <v>82523.23237937961</v>
      </c>
      <c r="C17" s="77">
        <v>86621.29225813047</v>
      </c>
      <c r="D17" s="77">
        <v>21279.904900322843</v>
      </c>
      <c r="E17" s="77">
        <v>107901.19715845332</v>
      </c>
      <c r="F17" s="77">
        <v>186305.2005316922</v>
      </c>
      <c r="G17" s="77">
        <v>35702.38690945356</v>
      </c>
      <c r="H17" s="77">
        <v>38327.47709668709</v>
      </c>
      <c r="I17" s="77">
        <v>80997.3801212514</v>
      </c>
    </row>
    <row r="18" spans="1:9" ht="15">
      <c r="A18" s="148">
        <v>15</v>
      </c>
      <c r="B18" s="77">
        <v>84173.69702696722</v>
      </c>
      <c r="C18" s="77">
        <v>88353.71810329307</v>
      </c>
      <c r="D18" s="77">
        <v>21705.5029983293</v>
      </c>
      <c r="E18" s="77">
        <v>110059.22110162236</v>
      </c>
      <c r="F18" s="77">
        <v>190031.304542326</v>
      </c>
      <c r="G18" s="77">
        <v>36416.434647642636</v>
      </c>
      <c r="H18" s="77">
        <v>39094.02663862084</v>
      </c>
      <c r="I18" s="77">
        <v>82617.32772367641</v>
      </c>
    </row>
    <row r="19" spans="1:9" ht="15">
      <c r="A19" s="148">
        <v>16</v>
      </c>
      <c r="B19" s="77">
        <v>85857.17096750656</v>
      </c>
      <c r="C19" s="77">
        <v>90120.79246535894</v>
      </c>
      <c r="D19" s="77">
        <v>22139.613058295887</v>
      </c>
      <c r="E19" s="77">
        <v>112260.40552365483</v>
      </c>
      <c r="F19" s="77">
        <v>193831.9306331725</v>
      </c>
      <c r="G19" s="77">
        <v>37144.763340595484</v>
      </c>
      <c r="H19" s="77">
        <v>39875.90717139325</v>
      </c>
      <c r="I19" s="77">
        <v>84269.67427814995</v>
      </c>
    </row>
    <row r="20" spans="1:9" ht="15">
      <c r="A20" s="148">
        <v>17</v>
      </c>
      <c r="B20" s="77">
        <v>87574.3143868567</v>
      </c>
      <c r="C20" s="77">
        <v>91923.20831466612</v>
      </c>
      <c r="D20" s="77">
        <v>22582.405319461806</v>
      </c>
      <c r="E20" s="77">
        <v>114505.61363412792</v>
      </c>
      <c r="F20" s="77">
        <v>197708.56924583603</v>
      </c>
      <c r="G20" s="77">
        <v>37887.6586074074</v>
      </c>
      <c r="H20" s="77">
        <v>40673.425314821114</v>
      </c>
      <c r="I20" s="77">
        <v>85955.06776371296</v>
      </c>
    </row>
    <row r="21" spans="1:9" ht="15">
      <c r="A21" s="148">
        <v>18</v>
      </c>
      <c r="B21" s="77">
        <v>89325.80067459383</v>
      </c>
      <c r="C21" s="77">
        <v>93761.67248095943</v>
      </c>
      <c r="D21" s="77">
        <v>23034.053425851045</v>
      </c>
      <c r="E21" s="77">
        <v>116795.72590681048</v>
      </c>
      <c r="F21" s="77">
        <v>201662.74063075267</v>
      </c>
      <c r="G21" s="77">
        <v>38645.41177955554</v>
      </c>
      <c r="H21" s="77">
        <v>41486.89382111754</v>
      </c>
      <c r="I21" s="77">
        <v>87674.1691189872</v>
      </c>
    </row>
    <row r="22" spans="1:9" ht="15">
      <c r="A22" s="148">
        <v>19</v>
      </c>
      <c r="B22" s="77">
        <v>91112.31668808572</v>
      </c>
      <c r="C22" s="77">
        <v>95636.90593057864</v>
      </c>
      <c r="D22" s="77">
        <v>23494.734494368065</v>
      </c>
      <c r="E22" s="77">
        <v>119131.6404249467</v>
      </c>
      <c r="F22" s="77">
        <v>205695.9954433678</v>
      </c>
      <c r="G22" s="77">
        <v>39418.32001514666</v>
      </c>
      <c r="H22" s="77">
        <v>42316.63169753989</v>
      </c>
      <c r="I22" s="77">
        <v>89427.65250136696</v>
      </c>
    </row>
    <row r="23" spans="1:9" ht="15">
      <c r="A23" s="148">
        <v>20</v>
      </c>
      <c r="B23" s="77">
        <v>92934.56302184743</v>
      </c>
      <c r="C23" s="77">
        <v>97549.6440491902</v>
      </c>
      <c r="D23" s="77">
        <v>23964.629184255427</v>
      </c>
      <c r="E23" s="77">
        <v>121514.27323344562</v>
      </c>
      <c r="F23" s="77">
        <v>209809.91535223514</v>
      </c>
      <c r="G23" s="77">
        <v>40206.686415449585</v>
      </c>
      <c r="H23" s="77">
        <v>43162.964331490686</v>
      </c>
      <c r="I23" s="77">
        <v>91216.20555139429</v>
      </c>
    </row>
    <row r="24" spans="1:9" ht="15">
      <c r="A24" s="148">
        <v>21</v>
      </c>
      <c r="B24" s="77">
        <v>94793.25428228437</v>
      </c>
      <c r="C24" s="77">
        <v>99500.63693017402</v>
      </c>
      <c r="D24" s="77">
        <v>24443.921767940534</v>
      </c>
      <c r="E24" s="77">
        <v>123944.55869811456</v>
      </c>
      <c r="F24" s="77">
        <v>214006.11365927986</v>
      </c>
      <c r="G24" s="77">
        <v>41010.82014375858</v>
      </c>
      <c r="H24" s="77">
        <v>44026.22361812051</v>
      </c>
      <c r="I24" s="77">
        <v>93040.52966242218</v>
      </c>
    </row>
    <row r="25" spans="1:9" ht="15">
      <c r="A25" s="148">
        <v>22</v>
      </c>
      <c r="B25" s="77">
        <v>96689.11936793005</v>
      </c>
      <c r="C25" s="77">
        <v>101490.64966877752</v>
      </c>
      <c r="D25" s="77">
        <v>24932.800203299346</v>
      </c>
      <c r="E25" s="77">
        <v>126423.44987207686</v>
      </c>
      <c r="F25" s="77">
        <v>218286.23593246544</v>
      </c>
      <c r="G25" s="77">
        <v>41831.03654663375</v>
      </c>
      <c r="H25" s="77">
        <v>44906.74809048291</v>
      </c>
      <c r="I25" s="77">
        <v>94901.34025567064</v>
      </c>
    </row>
    <row r="26" spans="1:9" ht="15">
      <c r="A26" s="148">
        <v>23</v>
      </c>
      <c r="B26" s="77">
        <v>98622.90175528867</v>
      </c>
      <c r="C26" s="77">
        <v>103520.46266215303</v>
      </c>
      <c r="D26" s="77">
        <v>25431.456207365332</v>
      </c>
      <c r="E26" s="77">
        <v>128951.91886951837</v>
      </c>
      <c r="F26" s="77">
        <v>222651.96065111476</v>
      </c>
      <c r="G26" s="77">
        <v>42667.65727756643</v>
      </c>
      <c r="H26" s="77">
        <v>45804.88305229257</v>
      </c>
      <c r="I26" s="77">
        <v>96799.36706078403</v>
      </c>
    </row>
    <row r="27" spans="1:9" ht="15">
      <c r="A27" s="148">
        <v>24</v>
      </c>
      <c r="B27" s="77">
        <v>100595.35979039442</v>
      </c>
      <c r="C27" s="77">
        <v>105590.87191539611</v>
      </c>
      <c r="D27" s="77">
        <v>25940.085331512644</v>
      </c>
      <c r="E27" s="77">
        <v>131530.95724690874</v>
      </c>
      <c r="F27" s="77">
        <v>227104.9998641371</v>
      </c>
      <c r="G27" s="77">
        <v>43521.010423117754</v>
      </c>
      <c r="H27" s="77">
        <v>46720.980713338424</v>
      </c>
      <c r="I27" s="77">
        <v>98735.35440199972</v>
      </c>
    </row>
    <row r="28" spans="1:9" ht="15">
      <c r="A28" s="148">
        <v>25</v>
      </c>
      <c r="B28" s="77">
        <v>102607.26698620233</v>
      </c>
      <c r="C28" s="77">
        <v>107702.68935370405</v>
      </c>
      <c r="D28" s="77">
        <v>26458.887038142893</v>
      </c>
      <c r="E28" s="77">
        <v>134161.57639184693</v>
      </c>
      <c r="F28" s="77">
        <v>231647.0998614198</v>
      </c>
      <c r="G28" s="77">
        <v>44391.430631580115</v>
      </c>
      <c r="H28" s="77">
        <v>47655.40032760519</v>
      </c>
      <c r="I28" s="77">
        <v>100710.06149003972</v>
      </c>
    </row>
    <row r="29" spans="1:9" ht="15">
      <c r="A29" s="148">
        <v>26</v>
      </c>
      <c r="B29" s="77">
        <v>104659.41232592639</v>
      </c>
      <c r="C29" s="77">
        <v>109856.74314077813</v>
      </c>
      <c r="D29" s="77">
        <v>26988.06477890575</v>
      </c>
      <c r="E29" s="77">
        <v>136844.80791968387</v>
      </c>
      <c r="F29" s="77">
        <v>236280.04185864815</v>
      </c>
      <c r="G29" s="77">
        <v>45279.25924421172</v>
      </c>
      <c r="H29" s="77">
        <v>48608.5083341573</v>
      </c>
      <c r="I29" s="77">
        <v>102724.26271984052</v>
      </c>
    </row>
    <row r="30" spans="1:9" ht="15">
      <c r="A30" s="148">
        <v>27</v>
      </c>
      <c r="B30" s="77">
        <v>106752.6005724449</v>
      </c>
      <c r="C30" s="77">
        <v>112053.87800359368</v>
      </c>
      <c r="D30" s="77">
        <v>27527.826074483863</v>
      </c>
      <c r="E30" s="77">
        <v>139581.70407807754</v>
      </c>
      <c r="F30" s="77">
        <v>241005.64269582118</v>
      </c>
      <c r="G30" s="77">
        <v>46184.84442909595</v>
      </c>
      <c r="H30" s="77">
        <v>49580.67850084045</v>
      </c>
      <c r="I30" s="77">
        <v>104778.74797423733</v>
      </c>
    </row>
    <row r="31" spans="1:9" ht="15">
      <c r="A31" s="148">
        <v>28</v>
      </c>
      <c r="B31" s="77">
        <v>108887.6525838938</v>
      </c>
      <c r="C31" s="77">
        <v>114294.95556366554</v>
      </c>
      <c r="D31" s="77">
        <v>28078.382595973544</v>
      </c>
      <c r="E31" s="77">
        <v>142373.3381596391</v>
      </c>
      <c r="F31" s="77">
        <v>245825.7555497376</v>
      </c>
      <c r="G31" s="77">
        <v>47108.54131767787</v>
      </c>
      <c r="H31" s="77">
        <v>50572.29207085726</v>
      </c>
      <c r="I31" s="77">
        <v>106874.32293372208</v>
      </c>
    </row>
    <row r="32" spans="1:9" ht="15">
      <c r="A32" s="148">
        <v>29</v>
      </c>
      <c r="B32" s="77">
        <v>111065.40563557167</v>
      </c>
      <c r="C32" s="77">
        <v>116580.85467493886</v>
      </c>
      <c r="D32" s="77">
        <v>28639.950247893015</v>
      </c>
      <c r="E32" s="77">
        <v>145220.80492283189</v>
      </c>
      <c r="F32" s="77">
        <v>250742.27066073238</v>
      </c>
      <c r="G32" s="77">
        <v>48050.71214403144</v>
      </c>
      <c r="H32" s="77">
        <v>51583.737912274395</v>
      </c>
      <c r="I32" s="77">
        <v>109011.80939239652</v>
      </c>
    </row>
    <row r="33" spans="1:9" ht="15">
      <c r="A33" s="148">
        <v>30</v>
      </c>
      <c r="B33" s="77">
        <v>113286.71374828313</v>
      </c>
      <c r="C33" s="77">
        <v>118912.47176843765</v>
      </c>
      <c r="D33" s="77">
        <v>29212.749252850877</v>
      </c>
      <c r="E33" s="77">
        <v>148125.22102128854</v>
      </c>
      <c r="F33" s="77">
        <v>255757.11607394702</v>
      </c>
      <c r="G33" s="77">
        <v>49011.726386912065</v>
      </c>
      <c r="H33" s="77">
        <v>52615.41267051988</v>
      </c>
      <c r="I33" s="77">
        <v>111192.04558024445</v>
      </c>
    </row>
    <row r="34" spans="1:9" ht="15">
      <c r="A34" s="148">
        <v>31</v>
      </c>
      <c r="B34" s="77">
        <v>115552.44802324878</v>
      </c>
      <c r="C34" s="77">
        <v>121290.72120380643</v>
      </c>
      <c r="D34" s="77">
        <v>29797.004237907895</v>
      </c>
      <c r="E34" s="77">
        <v>151087.72544171434</v>
      </c>
      <c r="F34" s="77">
        <v>260872.25839542592</v>
      </c>
      <c r="G34" s="77">
        <v>49991.960914650306</v>
      </c>
      <c r="H34" s="77">
        <v>53667.72092393028</v>
      </c>
      <c r="I34" s="77">
        <v>113415.88649184935</v>
      </c>
    </row>
    <row r="35" spans="1:9" ht="15">
      <c r="A35" s="148">
        <v>32</v>
      </c>
      <c r="B35" s="77">
        <v>117863.49698371376</v>
      </c>
      <c r="C35" s="77">
        <v>123716.53562788255</v>
      </c>
      <c r="D35" s="77">
        <v>30392.94432266605</v>
      </c>
      <c r="E35" s="77">
        <v>154109.47995054862</v>
      </c>
      <c r="F35" s="77">
        <v>266089.7035633345</v>
      </c>
      <c r="G35" s="77">
        <v>50991.80013294332</v>
      </c>
      <c r="H35" s="77">
        <v>54741.0753424089</v>
      </c>
      <c r="I35" s="77">
        <v>115684.20422168635</v>
      </c>
    </row>
    <row r="36" spans="1:9" ht="15">
      <c r="A36" s="148">
        <v>33</v>
      </c>
      <c r="B36" s="77">
        <v>120220.76692338804</v>
      </c>
      <c r="C36" s="77">
        <v>126190.86634044017</v>
      </c>
      <c r="D36" s="77">
        <v>31000.803209119378</v>
      </c>
      <c r="E36" s="77">
        <v>157191.66954955956</v>
      </c>
      <c r="F36" s="77">
        <v>271411.49763460114</v>
      </c>
      <c r="G36" s="77">
        <v>52011.63613560218</v>
      </c>
      <c r="H36" s="77">
        <v>55835.89684925707</v>
      </c>
      <c r="I36" s="77">
        <v>117997.88830612006</v>
      </c>
    </row>
    <row r="37" spans="1:9" ht="15">
      <c r="A37" s="148">
        <v>34</v>
      </c>
      <c r="B37" s="77">
        <v>122625.18226185579</v>
      </c>
      <c r="C37" s="77">
        <v>128714.683667249</v>
      </c>
      <c r="D37" s="77">
        <v>31620.819273301764</v>
      </c>
      <c r="E37" s="77">
        <v>160335.50294055077</v>
      </c>
      <c r="F37" s="77">
        <v>276839.72758729325</v>
      </c>
      <c r="G37" s="77">
        <v>53051.86885831422</v>
      </c>
      <c r="H37" s="77">
        <v>56952.61478624221</v>
      </c>
      <c r="I37" s="77">
        <v>120357.84607224245</v>
      </c>
    </row>
    <row r="38" spans="1:9" ht="15">
      <c r="A38" s="148">
        <v>35</v>
      </c>
      <c r="B38" s="77">
        <v>125077.68590709293</v>
      </c>
      <c r="C38" s="77">
        <v>131288.977340594</v>
      </c>
      <c r="D38" s="77">
        <v>32253.235658767797</v>
      </c>
      <c r="E38" s="77">
        <v>163542.2129993618</v>
      </c>
      <c r="F38" s="77">
        <v>282376.522139039</v>
      </c>
      <c r="G38" s="77">
        <v>54112.90623548051</v>
      </c>
      <c r="H38" s="77">
        <v>58091.66708196706</v>
      </c>
      <c r="I38" s="77">
        <v>122765.00299368732</v>
      </c>
    </row>
    <row r="39" spans="1:9" ht="15">
      <c r="A39" s="148">
        <v>36</v>
      </c>
      <c r="B39" s="77">
        <v>127579.23962523478</v>
      </c>
      <c r="C39" s="77">
        <v>133914.75688740585</v>
      </c>
      <c r="D39" s="77">
        <v>32898.30037194316</v>
      </c>
      <c r="E39" s="77">
        <v>166813.057259349</v>
      </c>
      <c r="F39" s="77">
        <v>288024.0525818198</v>
      </c>
      <c r="G39" s="77">
        <v>55195.16436019012</v>
      </c>
      <c r="H39" s="77">
        <v>59253.50042360641</v>
      </c>
      <c r="I39" s="77">
        <v>125220.30305356107</v>
      </c>
    </row>
    <row r="40" spans="1:9" ht="15">
      <c r="A40" s="148">
        <v>37</v>
      </c>
      <c r="B40" s="77">
        <v>130130.82441773948</v>
      </c>
      <c r="C40" s="77">
        <v>136593.05202515397</v>
      </c>
      <c r="D40" s="77">
        <v>33556.266379382025</v>
      </c>
      <c r="E40" s="77">
        <v>170149.318404536</v>
      </c>
      <c r="F40" s="77">
        <v>293784.5336334562</v>
      </c>
      <c r="G40" s="77">
        <v>56299.067647393924</v>
      </c>
      <c r="H40" s="77">
        <v>60438.57043207853</v>
      </c>
      <c r="I40" s="77">
        <v>127724.70911463226</v>
      </c>
    </row>
    <row r="41" spans="1:9" ht="15">
      <c r="A41" s="148">
        <v>38</v>
      </c>
      <c r="B41" s="77">
        <v>132733.44090609427</v>
      </c>
      <c r="C41" s="77">
        <v>139324.91306565705</v>
      </c>
      <c r="D41" s="77">
        <v>34227.39170696966</v>
      </c>
      <c r="E41" s="77">
        <v>173552.30477262673</v>
      </c>
      <c r="F41" s="77">
        <v>299660.22430612537</v>
      </c>
      <c r="G41" s="77">
        <v>57425.04900034181</v>
      </c>
      <c r="H41" s="77">
        <v>61647.34184072011</v>
      </c>
      <c r="I41" s="77">
        <v>130279.20329692493</v>
      </c>
    </row>
    <row r="42" spans="1:9" ht="15">
      <c r="A42" s="148">
        <v>39</v>
      </c>
      <c r="B42" s="77">
        <v>135388.1097242162</v>
      </c>
      <c r="C42" s="77">
        <v>142111.41132697024</v>
      </c>
      <c r="D42" s="77">
        <v>34911.93954110905</v>
      </c>
      <c r="E42" s="77">
        <v>177023.3508680793</v>
      </c>
      <c r="F42" s="77">
        <v>305653.4287922479</v>
      </c>
      <c r="G42" s="77">
        <v>58573.549980348645</v>
      </c>
      <c r="H42" s="77">
        <v>62880.28867753451</v>
      </c>
      <c r="I42" s="77">
        <v>132884.78736286346</v>
      </c>
    </row>
    <row r="43" spans="1:9" ht="15">
      <c r="A43" s="148">
        <v>40</v>
      </c>
      <c r="B43" s="77">
        <v>138095.87191870052</v>
      </c>
      <c r="C43" s="77">
        <v>144953.63955350962</v>
      </c>
      <c r="D43" s="77">
        <v>35610.17833193124</v>
      </c>
      <c r="E43" s="77">
        <v>180563.81788544086</v>
      </c>
      <c r="F43" s="77">
        <v>311766.4973680929</v>
      </c>
      <c r="G43" s="77">
        <v>59745.02097995562</v>
      </c>
      <c r="H43" s="77">
        <v>64137.8944510852</v>
      </c>
      <c r="I43" s="77">
        <v>135542.4831101207</v>
      </c>
    </row>
    <row r="44" spans="1:9" ht="15">
      <c r="A44" s="148" t="s">
        <v>141</v>
      </c>
      <c r="B44" s="77">
        <v>3966200.362653723</v>
      </c>
      <c r="C44" s="77">
        <v>4044581.8032289846</v>
      </c>
      <c r="D44" s="77">
        <v>1212166.9427899318</v>
      </c>
      <c r="E44" s="77">
        <v>5256748.746018915</v>
      </c>
      <c r="F44" s="77">
        <v>9030611.194434166</v>
      </c>
      <c r="G44" s="77">
        <v>1667040.754777735</v>
      </c>
      <c r="H44" s="77">
        <v>1902581.3270053437</v>
      </c>
      <c r="I44" s="77">
        <v>3781986.174616152</v>
      </c>
    </row>
  </sheetData>
  <sheetProtection algorithmName="SHA-512" hashValue="OFDwDfNa8TCoJwJoRoOyOwnGx31oPorpe6l+6B247So7wULIQwBQz0teX6oWLN0YQC328Xiunnx7UFNirkZDww==" saltValue="fh0Egkg/vAKZM8rljcBgjQ==" spinCount="100000" sheet="1" selectLockedCells="1" selectUnlockedCell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799847602844"/>
  </sheetPr>
  <dimension ref="A1:AO164"/>
  <sheetViews>
    <sheetView workbookViewId="0" topLeftCell="Y1">
      <selection activeCell="AI8" sqref="AI8"/>
    </sheetView>
  </sheetViews>
  <sheetFormatPr defaultColWidth="8.7109375" defaultRowHeight="15"/>
  <cols>
    <col min="2" max="2" width="17.421875" style="0" customWidth="1"/>
    <col min="9" max="9" width="22.7109375" style="0" bestFit="1" customWidth="1"/>
    <col min="15" max="15" width="22.28125" style="0" bestFit="1" customWidth="1"/>
    <col min="25" max="25" width="30.28125" style="0" bestFit="1" customWidth="1"/>
    <col min="26" max="26" width="5.28125" style="0" bestFit="1" customWidth="1"/>
    <col min="27" max="27" width="11.421875" style="0" bestFit="1" customWidth="1"/>
    <col min="28" max="28" width="11.00390625" style="0" bestFit="1" customWidth="1"/>
    <col min="29" max="29" width="31.7109375" style="0" bestFit="1" customWidth="1"/>
    <col min="30" max="30" width="20.421875" style="0" bestFit="1" customWidth="1"/>
    <col min="31" max="31" width="24.421875" style="0" bestFit="1" customWidth="1"/>
    <col min="32" max="32" width="25.421875" style="0" bestFit="1" customWidth="1"/>
    <col min="33" max="33" width="26.00390625" style="0" bestFit="1" customWidth="1"/>
  </cols>
  <sheetData>
    <row r="1" spans="1:25" s="186" customFormat="1" ht="15">
      <c r="A1" s="187" t="s">
        <v>234</v>
      </c>
      <c r="K1" s="187" t="s">
        <v>234</v>
      </c>
      <c r="Y1" s="187" t="s">
        <v>234</v>
      </c>
    </row>
    <row r="2" spans="1:35" ht="15">
      <c r="A2" t="s">
        <v>138</v>
      </c>
      <c r="B2" t="s">
        <v>281</v>
      </c>
      <c r="C2" s="176" t="s">
        <v>155</v>
      </c>
      <c r="E2" s="173" t="s">
        <v>162</v>
      </c>
      <c r="G2" s="174" t="s">
        <v>171</v>
      </c>
      <c r="H2" s="174"/>
      <c r="I2" s="174" t="s">
        <v>179</v>
      </c>
      <c r="J2" s="174" t="s">
        <v>171</v>
      </c>
      <c r="K2" s="174" t="s">
        <v>90</v>
      </c>
      <c r="L2" s="174" t="s">
        <v>178</v>
      </c>
      <c r="M2" s="174" t="s">
        <v>177</v>
      </c>
      <c r="N2" s="174"/>
      <c r="O2" s="174" t="s">
        <v>179</v>
      </c>
      <c r="P2" s="174" t="s">
        <v>12</v>
      </c>
      <c r="Q2" s="174" t="s">
        <v>171</v>
      </c>
      <c r="R2" s="174" t="s">
        <v>90</v>
      </c>
      <c r="S2" s="174" t="s">
        <v>180</v>
      </c>
      <c r="T2" s="174" t="s">
        <v>676</v>
      </c>
      <c r="U2" s="174" t="s">
        <v>181</v>
      </c>
      <c r="Z2" s="175"/>
      <c r="AA2" s="175"/>
      <c r="AB2" s="175"/>
      <c r="AC2" s="175" t="s">
        <v>406</v>
      </c>
      <c r="AD2" s="175" t="s">
        <v>407</v>
      </c>
      <c r="AE2" s="175" t="s">
        <v>408</v>
      </c>
      <c r="AF2" s="175" t="s">
        <v>409</v>
      </c>
      <c r="AG2" s="175" t="s">
        <v>410</v>
      </c>
      <c r="AI2" s="175" t="s">
        <v>413</v>
      </c>
    </row>
    <row r="3" spans="1:36" ht="15">
      <c r="A3">
        <v>10</v>
      </c>
      <c r="B3" s="22">
        <v>0.04</v>
      </c>
      <c r="C3" s="176" t="s">
        <v>156</v>
      </c>
      <c r="E3" s="173" t="s">
        <v>163</v>
      </c>
      <c r="G3" s="174" t="s">
        <v>172</v>
      </c>
      <c r="H3" s="174"/>
      <c r="I3" s="174" t="str">
        <f>CONCATENATE(J3,"-",K3,"-",L3)</f>
        <v>Capital City-Flat-Studio</v>
      </c>
      <c r="J3" s="174" t="s">
        <v>172</v>
      </c>
      <c r="K3" s="174" t="s">
        <v>176</v>
      </c>
      <c r="L3" s="174" t="s">
        <v>10</v>
      </c>
      <c r="M3" s="174">
        <v>0.6933333333333334</v>
      </c>
      <c r="N3" s="174"/>
      <c r="O3" s="174" t="str">
        <f>CONCATENATE(P3,"-",Q3,"-",R3)</f>
        <v>ACT-Capital City-House</v>
      </c>
      <c r="P3" s="174" t="s">
        <v>163</v>
      </c>
      <c r="Q3" s="174" t="s">
        <v>172</v>
      </c>
      <c r="R3" s="174" t="s">
        <v>136</v>
      </c>
      <c r="S3" s="174">
        <f>ROUND(VLOOKUP('Green+Social Interface'!$I$38,'Look-ups'!$A$15:$C$43,3,0)*T3,0)</f>
        <v>517</v>
      </c>
      <c r="T3" s="174">
        <v>485</v>
      </c>
      <c r="U3" s="174" t="s">
        <v>182</v>
      </c>
      <c r="Y3" s="175" t="s">
        <v>179</v>
      </c>
      <c r="Z3" s="175" t="s">
        <v>12</v>
      </c>
      <c r="AA3" s="175" t="s">
        <v>171</v>
      </c>
      <c r="AB3" s="175" t="s">
        <v>90</v>
      </c>
      <c r="AC3" s="175" t="s">
        <v>228</v>
      </c>
      <c r="AD3" s="175" t="s">
        <v>228</v>
      </c>
      <c r="AE3" s="175" t="s">
        <v>228</v>
      </c>
      <c r="AF3" s="175" t="s">
        <v>228</v>
      </c>
      <c r="AG3" s="175" t="s">
        <v>228</v>
      </c>
      <c r="AI3" s="107" t="s">
        <v>678</v>
      </c>
      <c r="AJ3" t="s">
        <v>562</v>
      </c>
    </row>
    <row r="4" spans="1:36" ht="15">
      <c r="A4">
        <v>15</v>
      </c>
      <c r="B4" s="22">
        <v>0.07</v>
      </c>
      <c r="C4" s="176" t="s">
        <v>157</v>
      </c>
      <c r="E4" s="173" t="s">
        <v>164</v>
      </c>
      <c r="G4" s="174" t="s">
        <v>173</v>
      </c>
      <c r="H4" s="174"/>
      <c r="I4" s="174" t="str">
        <f aca="true" t="shared" si="0" ref="I4:I24">CONCATENATE(J4,"-",K4,"-",L4)</f>
        <v>Capital City-Flat-1-bed</v>
      </c>
      <c r="J4" s="174" t="s">
        <v>172</v>
      </c>
      <c r="K4" s="174" t="s">
        <v>176</v>
      </c>
      <c r="L4" s="174" t="s">
        <v>6</v>
      </c>
      <c r="M4" s="174">
        <v>0.9333333333333333</v>
      </c>
      <c r="N4" s="174"/>
      <c r="O4" s="174" t="str">
        <f aca="true" t="shared" si="1" ref="O4:O34">CONCATENATE(P4,"-",Q4,"-",R4)</f>
        <v>ACT-Capital City-Flat</v>
      </c>
      <c r="P4" s="174" t="s">
        <v>163</v>
      </c>
      <c r="Q4" s="174" t="s">
        <v>172</v>
      </c>
      <c r="R4" s="174" t="s">
        <v>176</v>
      </c>
      <c r="S4" s="174">
        <f>ROUND(VLOOKUP('Green+Social Interface'!$I$38,'Look-ups'!$A$15:$C$43,3,0)*T4,0)</f>
        <v>528</v>
      </c>
      <c r="T4" s="174">
        <v>495</v>
      </c>
      <c r="U4" s="174"/>
      <c r="Y4" s="175" t="str">
        <f>CONCATENATE(Z4,"-",AA4,"-",AB4)</f>
        <v>ACT-Capital City-Lone Person</v>
      </c>
      <c r="Z4" s="175" t="s">
        <v>163</v>
      </c>
      <c r="AA4" s="175" t="s">
        <v>172</v>
      </c>
      <c r="AB4" s="175" t="s">
        <v>225</v>
      </c>
      <c r="AC4" s="175">
        <f>VLOOKUP('Green+Social Interface'!$I$38,'Look-ups'!$A$15:$C$43,2,0)*86</f>
        <v>91.16000000000001</v>
      </c>
      <c r="AD4" s="175">
        <f>VLOOKUP('Green+Social Interface'!$I$38,'Look-ups'!$A$15:$C$43,2,0)*123</f>
        <v>130.38</v>
      </c>
      <c r="AE4" s="175">
        <f>VLOOKUP('Green+Social Interface'!$I$38,'Look-ups'!$A$15:$C$43,2,0)*147</f>
        <v>155.82000000000002</v>
      </c>
      <c r="AF4" s="175">
        <f>VLOOKUP('Green+Social Interface'!$I$38,'Look-ups'!$A$15:$C$43,2,0)*180</f>
        <v>190.8</v>
      </c>
      <c r="AG4" s="175">
        <f>VLOOKUP('Green+Social Interface'!$I$38,'Look-ups'!$A$15:$C$43,2,0)*171</f>
        <v>181.26000000000002</v>
      </c>
      <c r="AI4" s="107" t="s">
        <v>678</v>
      </c>
      <c r="AJ4" t="s">
        <v>633</v>
      </c>
    </row>
    <row r="5" spans="1:35" ht="15">
      <c r="A5">
        <v>20</v>
      </c>
      <c r="B5" s="22">
        <v>0.1</v>
      </c>
      <c r="E5" s="173" t="s">
        <v>165</v>
      </c>
      <c r="G5" s="174"/>
      <c r="H5" s="174"/>
      <c r="I5" s="174" t="str">
        <f t="shared" si="0"/>
        <v>Capital City-Flat-2-bed</v>
      </c>
      <c r="J5" s="174" t="s">
        <v>172</v>
      </c>
      <c r="K5" s="174" t="s">
        <v>176</v>
      </c>
      <c r="L5" s="174" t="s">
        <v>7</v>
      </c>
      <c r="M5" s="174">
        <v>1</v>
      </c>
      <c r="N5" s="174"/>
      <c r="O5" s="174" t="str">
        <f t="shared" si="1"/>
        <v>ACT-Regional City-House</v>
      </c>
      <c r="P5" s="174" t="s">
        <v>163</v>
      </c>
      <c r="Q5" s="174" t="s">
        <v>173</v>
      </c>
      <c r="R5" s="174" t="s">
        <v>136</v>
      </c>
      <c r="S5" s="174">
        <f>ROUND(VLOOKUP('Green+Social Interface'!$I$38,'Look-ups'!$A$15:$C$43,3,0)*T5,0)</f>
        <v>534</v>
      </c>
      <c r="T5" s="174">
        <v>500</v>
      </c>
      <c r="U5" s="174" t="s">
        <v>183</v>
      </c>
      <c r="Y5" s="175" t="str">
        <f aca="true" t="shared" si="2" ref="Y5:Y35">CONCATENATE(Z5,"-",AA5,"-",AB5)</f>
        <v>ACT-Capital City-Couple Only</v>
      </c>
      <c r="Z5" s="175" t="s">
        <v>163</v>
      </c>
      <c r="AA5" s="175" t="s">
        <v>172</v>
      </c>
      <c r="AB5" s="175" t="s">
        <v>221</v>
      </c>
      <c r="AC5" s="175">
        <f>VLOOKUP('Green+Social Interface'!$I$38,'Look-ups'!$A$15:$C$43,2,0)*139</f>
        <v>147.34</v>
      </c>
      <c r="AD5" s="175">
        <f>VLOOKUP('Green+Social Interface'!$I$38,'Look-ups'!$A$15:$C$43,2,0)*131</f>
        <v>138.86</v>
      </c>
      <c r="AE5" s="175">
        <f>VLOOKUP('Green+Social Interface'!$I$38,'Look-ups'!$A$15:$C$43,2,0)*148</f>
        <v>156.88</v>
      </c>
      <c r="AF5" s="175">
        <f>VLOOKUP('Green+Social Interface'!$I$38,'Look-ups'!$A$15:$C$43,2,0)*164</f>
        <v>173.84</v>
      </c>
      <c r="AG5" s="175">
        <f>VLOOKUP('Green+Social Interface'!$I$38,'Look-ups'!$A$15:$C$43,2,0)*206</f>
        <v>218.36</v>
      </c>
      <c r="AI5" t="s">
        <v>680</v>
      </c>
    </row>
    <row r="6" spans="1:35" ht="15">
      <c r="A6">
        <v>25</v>
      </c>
      <c r="E6" s="173" t="s">
        <v>166</v>
      </c>
      <c r="G6" s="174"/>
      <c r="H6" s="174"/>
      <c r="I6" s="174" t="str">
        <f t="shared" si="0"/>
        <v>Capital City-Flat-3-bed</v>
      </c>
      <c r="J6" s="174" t="s">
        <v>172</v>
      </c>
      <c r="K6" s="174" t="s">
        <v>176</v>
      </c>
      <c r="L6" s="174" t="s">
        <v>8</v>
      </c>
      <c r="M6" s="174">
        <v>1.3066666666666666</v>
      </c>
      <c r="N6" s="174"/>
      <c r="O6" s="174" t="str">
        <f t="shared" si="1"/>
        <v>ACT-Regional City-Flat</v>
      </c>
      <c r="P6" s="174" t="s">
        <v>163</v>
      </c>
      <c r="Q6" s="174" t="s">
        <v>173</v>
      </c>
      <c r="R6" s="174" t="s">
        <v>176</v>
      </c>
      <c r="S6" s="174">
        <f>ROUND(VLOOKUP('Green+Social Interface'!$I$38,'Look-ups'!$A$15:$C$43,3,0)*T6,0)</f>
        <v>501</v>
      </c>
      <c r="T6" s="174">
        <v>470</v>
      </c>
      <c r="U6" s="174"/>
      <c r="Y6" s="175" t="str">
        <f t="shared" si="2"/>
        <v>ACT-Regional City-Lone Person</v>
      </c>
      <c r="Z6" s="175" t="s">
        <v>163</v>
      </c>
      <c r="AA6" s="175" t="s">
        <v>173</v>
      </c>
      <c r="AB6" s="175" t="s">
        <v>225</v>
      </c>
      <c r="AC6" s="175">
        <f>VLOOKUP('Green+Social Interface'!$I$38,'Look-ups'!$A$15:$C$43,2,0)*86</f>
        <v>91.16000000000001</v>
      </c>
      <c r="AD6" s="175">
        <f>VLOOKUP('Green+Social Interface'!$I$38,'Look-ups'!$A$15:$C$43,2,0)*123</f>
        <v>130.38</v>
      </c>
      <c r="AE6" s="175">
        <f>VLOOKUP('Green+Social Interface'!$I$38,'Look-ups'!$A$15:$C$43,2,0)*147</f>
        <v>155.82000000000002</v>
      </c>
      <c r="AF6" s="175">
        <f>VLOOKUP('Green+Social Interface'!$I$38,'Look-ups'!$A$15:$C$43,2,0)*180</f>
        <v>190.8</v>
      </c>
      <c r="AG6" s="175">
        <f>VLOOKUP('Green+Social Interface'!$I$38,'Look-ups'!$A$15:$C$43,2,0)*171</f>
        <v>181.26000000000002</v>
      </c>
      <c r="AI6" t="s">
        <v>679</v>
      </c>
    </row>
    <row r="7" spans="1:35" ht="15">
      <c r="A7">
        <v>30</v>
      </c>
      <c r="E7" s="173" t="s">
        <v>167</v>
      </c>
      <c r="G7" s="174"/>
      <c r="H7" s="174"/>
      <c r="I7" s="174" t="str">
        <f t="shared" si="0"/>
        <v>Capital City-Flat-4-bed</v>
      </c>
      <c r="J7" s="174" t="s">
        <v>172</v>
      </c>
      <c r="K7" s="174" t="s">
        <v>176</v>
      </c>
      <c r="L7" s="174" t="s">
        <v>9</v>
      </c>
      <c r="M7" s="174">
        <v>1.4666666666666666</v>
      </c>
      <c r="N7" s="174"/>
      <c r="O7" s="174" t="str">
        <f t="shared" si="1"/>
        <v>NSW-Capital City-House</v>
      </c>
      <c r="P7" s="174" t="s">
        <v>164</v>
      </c>
      <c r="Q7" s="174" t="s">
        <v>172</v>
      </c>
      <c r="R7" s="174" t="s">
        <v>136</v>
      </c>
      <c r="S7" s="174">
        <f>ROUND(VLOOKUP('Green+Social Interface'!$I$38,'Look-ups'!$A$15:$C$43,3,0)*T7,0)</f>
        <v>395</v>
      </c>
      <c r="T7" s="174">
        <v>370</v>
      </c>
      <c r="U7" s="174" t="s">
        <v>184</v>
      </c>
      <c r="Y7" s="175" t="str">
        <f t="shared" si="2"/>
        <v>ACT-Regional City-Couple Only</v>
      </c>
      <c r="Z7" s="175" t="s">
        <v>163</v>
      </c>
      <c r="AA7" s="175" t="s">
        <v>173</v>
      </c>
      <c r="AB7" s="175" t="s">
        <v>221</v>
      </c>
      <c r="AC7" s="175">
        <f>VLOOKUP('Green+Social Interface'!$I$38,'Look-ups'!$A$15:$C$43,2,0)*139</f>
        <v>147.34</v>
      </c>
      <c r="AD7" s="175">
        <f>VLOOKUP('Green+Social Interface'!$I$38,'Look-ups'!$A$15:$C$43,2,0)*131</f>
        <v>138.86</v>
      </c>
      <c r="AE7" s="175">
        <f>VLOOKUP('Green+Social Interface'!$I$38,'Look-ups'!$A$15:$C$43,2,0)*148</f>
        <v>156.88</v>
      </c>
      <c r="AF7" s="175">
        <f>VLOOKUP('Green+Social Interface'!$I$38,'Look-ups'!$A$15:$C$43,2,0)*164</f>
        <v>173.84</v>
      </c>
      <c r="AG7" s="175">
        <f>VLOOKUP('Green+Social Interface'!$I$38,'Look-ups'!$A$15:$C$43,2,0)*206</f>
        <v>218.36</v>
      </c>
      <c r="AI7" t="s">
        <v>681</v>
      </c>
    </row>
    <row r="8" spans="1:33" ht="15">
      <c r="A8">
        <v>35</v>
      </c>
      <c r="E8" s="173" t="s">
        <v>168</v>
      </c>
      <c r="G8" s="174"/>
      <c r="H8" s="174"/>
      <c r="I8" s="174" t="str">
        <f t="shared" si="0"/>
        <v>Capital City-House-1-bed</v>
      </c>
      <c r="J8" s="174" t="s">
        <v>172</v>
      </c>
      <c r="K8" s="174" t="s">
        <v>136</v>
      </c>
      <c r="L8" s="174" t="s">
        <v>6</v>
      </c>
      <c r="M8" s="174">
        <v>0.6944444444444444</v>
      </c>
      <c r="N8" s="174"/>
      <c r="O8" s="174" t="str">
        <f t="shared" si="1"/>
        <v>NSW-Capital City-Flat</v>
      </c>
      <c r="P8" s="174" t="s">
        <v>164</v>
      </c>
      <c r="Q8" s="174" t="s">
        <v>172</v>
      </c>
      <c r="R8" s="174" t="s">
        <v>176</v>
      </c>
      <c r="S8" s="174">
        <f>ROUND(VLOOKUP('Green+Social Interface'!$I$38,'Look-ups'!$A$15:$C$43,3,0)*T8,0)</f>
        <v>400</v>
      </c>
      <c r="T8" s="174">
        <v>375</v>
      </c>
      <c r="U8" s="174"/>
      <c r="Y8" s="175" t="str">
        <f t="shared" si="2"/>
        <v>NSW-Capital City-Lone Person</v>
      </c>
      <c r="Z8" s="175" t="s">
        <v>164</v>
      </c>
      <c r="AA8" s="175" t="s">
        <v>172</v>
      </c>
      <c r="AB8" s="175" t="s">
        <v>225</v>
      </c>
      <c r="AC8" s="175">
        <f>VLOOKUP('Green+Social Interface'!$I$38,'Look-ups'!$A$15:$C$43,2,0)*89</f>
        <v>94.34</v>
      </c>
      <c r="AD8" s="175">
        <f>VLOOKUP('Green+Social Interface'!$I$38,'Look-ups'!$A$15:$C$43,2,0)*127</f>
        <v>134.62</v>
      </c>
      <c r="AE8" s="175">
        <f>VLOOKUP('Green+Social Interface'!$I$38,'Look-ups'!$A$15:$C$43,2,0)*152</f>
        <v>161.12</v>
      </c>
      <c r="AF8" s="175">
        <f>VLOOKUP('Green+Social Interface'!$I$38,'Look-ups'!$A$15:$C$43,2,0)*186</f>
        <v>197.16</v>
      </c>
      <c r="AG8" s="175">
        <f>VLOOKUP('Green+Social Interface'!$I$38,'Look-ups'!$A$15:$C$43,2,0)*177</f>
        <v>187.62</v>
      </c>
    </row>
    <row r="9" spans="1:33" ht="15">
      <c r="A9">
        <v>40</v>
      </c>
      <c r="E9" s="173" t="s">
        <v>169</v>
      </c>
      <c r="G9" s="174"/>
      <c r="H9" s="174"/>
      <c r="I9" s="174" t="str">
        <f t="shared" si="0"/>
        <v>Capital City-House-2-bed</v>
      </c>
      <c r="J9" s="174" t="s">
        <v>172</v>
      </c>
      <c r="K9" s="174" t="s">
        <v>136</v>
      </c>
      <c r="L9" s="174" t="s">
        <v>7</v>
      </c>
      <c r="M9" s="174">
        <v>1</v>
      </c>
      <c r="N9" s="174"/>
      <c r="O9" s="174" t="str">
        <f t="shared" si="1"/>
        <v>NSW-Regional City-House</v>
      </c>
      <c r="P9" s="174" t="s">
        <v>164</v>
      </c>
      <c r="Q9" s="174" t="s">
        <v>173</v>
      </c>
      <c r="R9" s="174" t="s">
        <v>136</v>
      </c>
      <c r="S9" s="174">
        <f>ROUND(VLOOKUP('Green+Social Interface'!$I$38,'Look-ups'!$A$15:$C$43,3,0)*T9,0)</f>
        <v>469</v>
      </c>
      <c r="T9" s="174">
        <v>440</v>
      </c>
      <c r="U9" s="174" t="s">
        <v>185</v>
      </c>
      <c r="Y9" s="175" t="str">
        <f t="shared" si="2"/>
        <v>NSW-Capital City-Couple Only</v>
      </c>
      <c r="Z9" s="175" t="s">
        <v>164</v>
      </c>
      <c r="AA9" s="175" t="s">
        <v>172</v>
      </c>
      <c r="AB9" s="175" t="s">
        <v>221</v>
      </c>
      <c r="AC9" s="175">
        <f>VLOOKUP('Green+Social Interface'!$I$38,'Look-ups'!$A$15:$C$43,2,0)*144</f>
        <v>152.64000000000001</v>
      </c>
      <c r="AD9" s="175">
        <f>VLOOKUP('Green+Social Interface'!$I$38,'Look-ups'!$A$15:$C$43,2,0)*136</f>
        <v>144.16</v>
      </c>
      <c r="AE9" s="175">
        <f>VLOOKUP('Green+Social Interface'!$I$38,'Look-ups'!$A$15:$C$43,2,0)*154</f>
        <v>163.24</v>
      </c>
      <c r="AF9" s="175">
        <f>VLOOKUP('Green+Social Interface'!$I$38,'Look-ups'!$A$15:$C$43,2,0)*170</f>
        <v>180.20000000000002</v>
      </c>
      <c r="AG9" s="175">
        <f>VLOOKUP('Green+Social Interface'!$I$38,'Look-ups'!$A$15:$C$43,2,0)*214</f>
        <v>226.84</v>
      </c>
    </row>
    <row r="10" spans="5:33" ht="15">
      <c r="E10" s="173" t="s">
        <v>170</v>
      </c>
      <c r="G10" s="174"/>
      <c r="H10" s="174"/>
      <c r="I10" s="174" t="str">
        <f t="shared" si="0"/>
        <v>Capital City-House-3-bed</v>
      </c>
      <c r="J10" s="174" t="s">
        <v>172</v>
      </c>
      <c r="K10" s="174" t="s">
        <v>136</v>
      </c>
      <c r="L10" s="174" t="s">
        <v>8</v>
      </c>
      <c r="M10" s="174">
        <v>1.2222222222222223</v>
      </c>
      <c r="N10" s="174"/>
      <c r="O10" s="174" t="str">
        <f t="shared" si="1"/>
        <v>NSW-Regional City-Flat</v>
      </c>
      <c r="P10" s="174" t="s">
        <v>164</v>
      </c>
      <c r="Q10" s="174" t="s">
        <v>173</v>
      </c>
      <c r="R10" s="174" t="s">
        <v>176</v>
      </c>
      <c r="S10" s="174">
        <f>ROUND(VLOOKUP('Green+Social Interface'!$I$38,'Look-ups'!$A$15:$C$43,3,0)*T10,0)</f>
        <v>416</v>
      </c>
      <c r="T10" s="174">
        <v>390</v>
      </c>
      <c r="U10" s="174"/>
      <c r="Y10" s="175" t="str">
        <f t="shared" si="2"/>
        <v>NSW-Regional City-Lone Person</v>
      </c>
      <c r="Z10" s="175" t="s">
        <v>164</v>
      </c>
      <c r="AA10" s="175" t="s">
        <v>173</v>
      </c>
      <c r="AB10" s="175" t="s">
        <v>225</v>
      </c>
      <c r="AC10" s="175">
        <f>VLOOKUP('Green+Social Interface'!$I$38,'Look-ups'!$A$15:$C$43,2,0)*100</f>
        <v>106</v>
      </c>
      <c r="AD10" s="175">
        <f>VLOOKUP('Green+Social Interface'!$I$38,'Look-ups'!$A$15:$C$43,2,0)*143</f>
        <v>151.58</v>
      </c>
      <c r="AE10" s="175">
        <f>VLOOKUP('Green+Social Interface'!$I$38,'Look-ups'!$A$15:$C$43,2,0)*171</f>
        <v>181.26000000000002</v>
      </c>
      <c r="AF10" s="175">
        <f>VLOOKUP('Green+Social Interface'!$I$38,'Look-ups'!$A$15:$C$43,2,0)*209</f>
        <v>221.54000000000002</v>
      </c>
      <c r="AG10" s="175">
        <f>VLOOKUP('Green+Social Interface'!$I$38,'Look-ups'!$A$15:$C$43,2,0)*199</f>
        <v>210.94</v>
      </c>
    </row>
    <row r="11" spans="7:33" ht="15">
      <c r="G11" s="174"/>
      <c r="H11" s="174"/>
      <c r="I11" s="174" t="str">
        <f t="shared" si="0"/>
        <v>Capital City-House-4-bed</v>
      </c>
      <c r="J11" s="174" t="s">
        <v>172</v>
      </c>
      <c r="K11" s="174" t="s">
        <v>136</v>
      </c>
      <c r="L11" s="174" t="s">
        <v>9</v>
      </c>
      <c r="M11" s="174">
        <v>1.5555555555555556</v>
      </c>
      <c r="N11" s="174"/>
      <c r="O11" s="174" t="str">
        <f t="shared" si="1"/>
        <v>NT-Capital City-House</v>
      </c>
      <c r="P11" s="174" t="s">
        <v>165</v>
      </c>
      <c r="Q11" s="174" t="s">
        <v>172</v>
      </c>
      <c r="R11" s="174" t="s">
        <v>136</v>
      </c>
      <c r="S11" s="174">
        <f>ROUND(VLOOKUP('Green+Social Interface'!$I$38,'Look-ups'!$A$15:$C$43,3,0)*T11,0)</f>
        <v>420</v>
      </c>
      <c r="T11" s="174">
        <v>394</v>
      </c>
      <c r="U11" s="174" t="s">
        <v>186</v>
      </c>
      <c r="Y11" s="175" t="str">
        <f t="shared" si="2"/>
        <v>NSW-Regional City-Couple Only</v>
      </c>
      <c r="Z11" s="175" t="s">
        <v>164</v>
      </c>
      <c r="AA11" s="175" t="s">
        <v>173</v>
      </c>
      <c r="AB11" s="175" t="s">
        <v>221</v>
      </c>
      <c r="AC11" s="175">
        <f>VLOOKUP('Green+Social Interface'!$I$38,'Look-ups'!$A$15:$C$43,2,0)*162</f>
        <v>171.72</v>
      </c>
      <c r="AD11" s="175">
        <f>VLOOKUP('Green+Social Interface'!$I$38,'Look-ups'!$A$15:$C$43,2,0)*153</f>
        <v>162.18</v>
      </c>
      <c r="AE11" s="175">
        <f>VLOOKUP('Green+Social Interface'!$I$38,'Look-ups'!$A$15:$C$43,2,0)*173</f>
        <v>183.38</v>
      </c>
      <c r="AF11" s="175">
        <f>VLOOKUP('Green+Social Interface'!$I$38,'Look-ups'!$A$15:$C$43,2,0)*191</f>
        <v>202.46</v>
      </c>
      <c r="AG11" s="175">
        <f>VLOOKUP('Green+Social Interface'!$I$38,'Look-ups'!$A$15:$C$43,2,0)*240</f>
        <v>254.4</v>
      </c>
    </row>
    <row r="12" spans="7:33" ht="15">
      <c r="G12" s="174"/>
      <c r="H12" s="174"/>
      <c r="I12" s="174" t="str">
        <f t="shared" si="0"/>
        <v>Capital City-House-5-bed</v>
      </c>
      <c r="J12" s="174" t="s">
        <v>172</v>
      </c>
      <c r="K12" s="174" t="s">
        <v>136</v>
      </c>
      <c r="L12" s="174" t="s">
        <v>11</v>
      </c>
      <c r="M12" s="174">
        <v>1.875</v>
      </c>
      <c r="N12" s="174"/>
      <c r="O12" s="174" t="str">
        <f t="shared" si="1"/>
        <v>NT-Capital City-Flat</v>
      </c>
      <c r="P12" s="174" t="s">
        <v>165</v>
      </c>
      <c r="Q12" s="174" t="s">
        <v>172</v>
      </c>
      <c r="R12" s="174" t="s">
        <v>176</v>
      </c>
      <c r="S12" s="174">
        <f>ROUND(VLOOKUP('Green+Social Interface'!$I$38,'Look-ups'!$A$15:$C$43,3,0)*T12,0)</f>
        <v>397</v>
      </c>
      <c r="T12" s="174">
        <v>372</v>
      </c>
      <c r="U12" s="174" t="s">
        <v>187</v>
      </c>
      <c r="Y12" s="175" t="str">
        <f t="shared" si="2"/>
        <v>NT-Capital City-Lone Person</v>
      </c>
      <c r="Z12" s="175" t="s">
        <v>165</v>
      </c>
      <c r="AA12" s="175" t="s">
        <v>172</v>
      </c>
      <c r="AB12" s="175" t="s">
        <v>225</v>
      </c>
      <c r="AC12" s="175">
        <f>VLOOKUP('Green+Social Interface'!$I$38,'Look-ups'!$A$15:$C$43,2,0)*123</f>
        <v>130.38</v>
      </c>
      <c r="AD12" s="175">
        <f>VLOOKUP('Green+Social Interface'!$I$38,'Look-ups'!$A$15:$C$43,2,0)*176</f>
        <v>186.56</v>
      </c>
      <c r="AE12" s="175">
        <f>VLOOKUP('Green+Social Interface'!$I$38,'Look-ups'!$A$15:$C$43,2,0)*211</f>
        <v>223.66000000000003</v>
      </c>
      <c r="AF12" s="175">
        <f>VLOOKUP('Green+Social Interface'!$I$38,'Look-ups'!$A$15:$C$43,2,0)*258</f>
        <v>273.48</v>
      </c>
      <c r="AG12" s="175">
        <f>VLOOKUP('Green+Social Interface'!$I$38,'Look-ups'!$A$15:$C$43,2,0)*245</f>
        <v>259.7</v>
      </c>
    </row>
    <row r="13" spans="7:33" ht="15">
      <c r="G13" s="174"/>
      <c r="H13" s="174"/>
      <c r="I13" s="174" t="str">
        <f t="shared" si="0"/>
        <v>Capital City-House-6-bed</v>
      </c>
      <c r="J13" s="174" t="s">
        <v>172</v>
      </c>
      <c r="K13" s="174" t="s">
        <v>136</v>
      </c>
      <c r="L13" s="174" t="s">
        <v>175</v>
      </c>
      <c r="M13" s="174">
        <v>2.0833333333333335</v>
      </c>
      <c r="N13" s="174"/>
      <c r="O13" s="174" t="str">
        <f t="shared" si="1"/>
        <v>NT-Regional City-House</v>
      </c>
      <c r="P13" s="174" t="s">
        <v>165</v>
      </c>
      <c r="Q13" s="174" t="s">
        <v>173</v>
      </c>
      <c r="R13" s="174" t="s">
        <v>136</v>
      </c>
      <c r="S13" s="174">
        <f>ROUND(VLOOKUP('Green+Social Interface'!$I$38,'Look-ups'!$A$15:$C$43,3,0)*T13,0)</f>
        <v>436</v>
      </c>
      <c r="T13" s="174">
        <v>409</v>
      </c>
      <c r="U13" s="174" t="s">
        <v>188</v>
      </c>
      <c r="Y13" s="175" t="str">
        <f t="shared" si="2"/>
        <v>NT-Capital City-Couple Only</v>
      </c>
      <c r="Z13" s="175" t="s">
        <v>165</v>
      </c>
      <c r="AA13" s="175" t="s">
        <v>172</v>
      </c>
      <c r="AB13" s="175" t="s">
        <v>221</v>
      </c>
      <c r="AC13" s="175">
        <f>VLOOKUP('Green+Social Interface'!$I$38,'Look-ups'!$A$15:$C$43,2,0)*199</f>
        <v>210.94</v>
      </c>
      <c r="AD13" s="175">
        <f>VLOOKUP('Green+Social Interface'!$I$38,'Look-ups'!$A$15:$C$43,2,0)*189</f>
        <v>200.34</v>
      </c>
      <c r="AE13" s="175">
        <f>VLOOKUP('Green+Social Interface'!$I$38,'Look-ups'!$A$15:$C$43,2,0)*213</f>
        <v>225.78</v>
      </c>
      <c r="AF13" s="175">
        <f>VLOOKUP('Green+Social Interface'!$I$38,'Look-ups'!$A$15:$C$43,2,0)*236</f>
        <v>250.16000000000003</v>
      </c>
      <c r="AG13" s="175">
        <f>VLOOKUP('Green+Social Interface'!$I$38,'Look-ups'!$A$15:$C$43,2,0)*296</f>
        <v>313.76</v>
      </c>
    </row>
    <row r="14" spans="1:33" ht="15">
      <c r="A14" s="175" t="s">
        <v>212</v>
      </c>
      <c r="B14" s="175" t="s">
        <v>507</v>
      </c>
      <c r="C14" t="s">
        <v>665</v>
      </c>
      <c r="D14" s="177" t="s">
        <v>219</v>
      </c>
      <c r="G14" s="174"/>
      <c r="H14" s="174"/>
      <c r="I14" s="174" t="str">
        <f t="shared" si="0"/>
        <v>Regional City-Flat-Studio</v>
      </c>
      <c r="J14" s="174" t="s">
        <v>173</v>
      </c>
      <c r="K14" s="174" t="s">
        <v>176</v>
      </c>
      <c r="L14" s="174" t="s">
        <v>10</v>
      </c>
      <c r="M14" s="174">
        <v>0.75</v>
      </c>
      <c r="N14" s="174"/>
      <c r="O14" s="174" t="str">
        <f t="shared" si="1"/>
        <v>NT-Regional City-Flat</v>
      </c>
      <c r="P14" s="174" t="s">
        <v>165</v>
      </c>
      <c r="Q14" s="174" t="s">
        <v>173</v>
      </c>
      <c r="R14" s="174" t="s">
        <v>176</v>
      </c>
      <c r="S14" s="174">
        <f>ROUND(VLOOKUP('Green+Social Interface'!$I$38,'Look-ups'!$A$15:$C$43,3,0)*T14,0)</f>
        <v>401</v>
      </c>
      <c r="T14" s="174">
        <v>376</v>
      </c>
      <c r="U14" s="174" t="s">
        <v>189</v>
      </c>
      <c r="Y14" s="175" t="str">
        <f t="shared" si="2"/>
        <v>NT-Regional City-Lone Person</v>
      </c>
      <c r="Z14" s="175" t="s">
        <v>165</v>
      </c>
      <c r="AA14" s="175" t="s">
        <v>173</v>
      </c>
      <c r="AB14" s="175" t="s">
        <v>225</v>
      </c>
      <c r="AC14" s="175">
        <f>VLOOKUP('Green+Social Interface'!$I$38,'Look-ups'!$A$15:$C$43,2,0)*123</f>
        <v>130.38</v>
      </c>
      <c r="AD14" s="175">
        <f>VLOOKUP('Green+Social Interface'!$I$38,'Look-ups'!$A$15:$C$43,2,0)*176</f>
        <v>186.56</v>
      </c>
      <c r="AE14" s="175">
        <f>VLOOKUP('Green+Social Interface'!$I$38,'Look-ups'!$A$15:$C$43,2,0)*211</f>
        <v>223.66000000000003</v>
      </c>
      <c r="AF14" s="175">
        <f>VLOOKUP('Green+Social Interface'!$I$38,'Look-ups'!$A$15:$C$43,2,0)*258</f>
        <v>273.48</v>
      </c>
      <c r="AG14" s="175">
        <f>VLOOKUP('Green+Social Interface'!$I$38,'Look-ups'!$A$15:$C$43,2,0)*245</f>
        <v>259.7</v>
      </c>
    </row>
    <row r="15" spans="1:33" ht="15">
      <c r="A15" s="175">
        <v>2022</v>
      </c>
      <c r="B15" s="175">
        <v>1</v>
      </c>
      <c r="C15">
        <v>1</v>
      </c>
      <c r="D15" s="178"/>
      <c r="G15" s="174"/>
      <c r="H15" s="174"/>
      <c r="I15" s="174" t="str">
        <f t="shared" si="0"/>
        <v>Regional City-Flat-1-bed</v>
      </c>
      <c r="J15" s="174" t="s">
        <v>173</v>
      </c>
      <c r="K15" s="174" t="s">
        <v>176</v>
      </c>
      <c r="L15" s="174" t="s">
        <v>6</v>
      </c>
      <c r="M15" s="174">
        <v>0.75</v>
      </c>
      <c r="N15" s="174"/>
      <c r="O15" s="174" t="str">
        <f t="shared" si="1"/>
        <v>Qld-Capital City-House</v>
      </c>
      <c r="P15" s="174" t="s">
        <v>166</v>
      </c>
      <c r="Q15" s="174" t="s">
        <v>172</v>
      </c>
      <c r="R15" s="174" t="s">
        <v>136</v>
      </c>
      <c r="S15" s="174">
        <f>ROUND(VLOOKUP('Green+Social Interface'!$I$38,'Look-ups'!$A$15:$C$43,3,0)*T15,0)</f>
        <v>320</v>
      </c>
      <c r="T15" s="174">
        <v>300</v>
      </c>
      <c r="U15" s="174" t="s">
        <v>190</v>
      </c>
      <c r="Y15" s="175" t="str">
        <f t="shared" si="2"/>
        <v>NT-Regional City-Couple Only</v>
      </c>
      <c r="Z15" s="175" t="s">
        <v>165</v>
      </c>
      <c r="AA15" s="175" t="s">
        <v>173</v>
      </c>
      <c r="AB15" s="175" t="s">
        <v>221</v>
      </c>
      <c r="AC15" s="175">
        <f>VLOOKUP('Green+Social Interface'!$I$38,'Look-ups'!$A$15:$C$43,2,0)*199</f>
        <v>210.94</v>
      </c>
      <c r="AD15" s="175">
        <f>VLOOKUP('Green+Social Interface'!$I$38,'Look-ups'!$A$15:$C$43,2,0)*189</f>
        <v>200.34</v>
      </c>
      <c r="AE15" s="175">
        <f>VLOOKUP('Green+Social Interface'!$I$38,'Look-ups'!$A$15:$C$43,2,0)*213</f>
        <v>225.78</v>
      </c>
      <c r="AF15" s="175">
        <f>VLOOKUP('Green+Social Interface'!$I$38,'Look-ups'!$A$15:$C$43,2,0)*236</f>
        <v>250.16000000000003</v>
      </c>
      <c r="AG15" s="175">
        <f>VLOOKUP('Green+Social Interface'!$I$38,'Look-ups'!$A$15:$C$43,2,0)*296</f>
        <v>313.76</v>
      </c>
    </row>
    <row r="16" spans="1:33" ht="15">
      <c r="A16" s="175">
        <v>2023</v>
      </c>
      <c r="B16" s="426">
        <v>1.06</v>
      </c>
      <c r="C16" s="260">
        <v>1.067</v>
      </c>
      <c r="D16" s="178">
        <v>1</v>
      </c>
      <c r="G16" s="174"/>
      <c r="H16" s="174"/>
      <c r="I16" s="174" t="str">
        <f t="shared" si="0"/>
        <v>Regional City-Flat-2-bed</v>
      </c>
      <c r="J16" s="174" t="s">
        <v>173</v>
      </c>
      <c r="K16" s="174" t="s">
        <v>176</v>
      </c>
      <c r="L16" s="174" t="s">
        <v>7</v>
      </c>
      <c r="M16" s="174">
        <v>1</v>
      </c>
      <c r="N16" s="174"/>
      <c r="O16" s="174" t="str">
        <f t="shared" si="1"/>
        <v>Qld-Capital City-Flat</v>
      </c>
      <c r="P16" s="174" t="s">
        <v>166</v>
      </c>
      <c r="Q16" s="174" t="s">
        <v>172</v>
      </c>
      <c r="R16" s="174" t="s">
        <v>176</v>
      </c>
      <c r="S16" s="174">
        <f>ROUND(VLOOKUP('Green+Social Interface'!$I$38,'Look-ups'!$A$15:$C$43,3,0)*T16,0)</f>
        <v>299</v>
      </c>
      <c r="T16" s="174">
        <v>280</v>
      </c>
      <c r="U16" s="174"/>
      <c r="Y16" s="175" t="str">
        <f t="shared" si="2"/>
        <v>QLD-Capital City-Lone Person</v>
      </c>
      <c r="Z16" s="175" t="s">
        <v>222</v>
      </c>
      <c r="AA16" s="175" t="s">
        <v>172</v>
      </c>
      <c r="AB16" s="175" t="s">
        <v>225</v>
      </c>
      <c r="AC16" s="175">
        <f>VLOOKUP('Green+Social Interface'!$I$38,'Look-ups'!$A$15:$C$43,2,0)*119</f>
        <v>126.14</v>
      </c>
      <c r="AD16" s="175">
        <f>VLOOKUP('Green+Social Interface'!$I$38,'Look-ups'!$A$15:$C$43,2,0)*170</f>
        <v>180.20000000000002</v>
      </c>
      <c r="AE16" s="175">
        <f>VLOOKUP('Green+Social Interface'!$I$38,'Look-ups'!$A$15:$C$43,2,0)*203</f>
        <v>215.18</v>
      </c>
      <c r="AF16" s="175">
        <f>VLOOKUP('Green+Social Interface'!$I$38,'Look-ups'!$A$15:$C$43,2,0)*249</f>
        <v>263.94</v>
      </c>
      <c r="AG16" s="175">
        <f>VLOOKUP('Green+Social Interface'!$I$38,'Look-ups'!$A$15:$C$43,2,0)*236</f>
        <v>250.16000000000003</v>
      </c>
    </row>
    <row r="17" spans="1:33" ht="15">
      <c r="A17" s="175">
        <v>2024</v>
      </c>
      <c r="B17" s="426">
        <f>B16+0.03</f>
        <v>1.09</v>
      </c>
      <c r="C17" s="428">
        <f>C16+0.03</f>
        <v>1.097</v>
      </c>
      <c r="D17" s="178">
        <v>1.5</v>
      </c>
      <c r="G17" s="174"/>
      <c r="H17" s="174"/>
      <c r="I17" s="174" t="str">
        <f t="shared" si="0"/>
        <v>Regional City-Flat-3-bed</v>
      </c>
      <c r="J17" s="174" t="s">
        <v>173</v>
      </c>
      <c r="K17" s="174" t="s">
        <v>176</v>
      </c>
      <c r="L17" s="174" t="s">
        <v>8</v>
      </c>
      <c r="M17" s="174">
        <v>1.2857142857142858</v>
      </c>
      <c r="N17" s="174"/>
      <c r="O17" s="174" t="str">
        <f t="shared" si="1"/>
        <v>Qld-Regional City-House</v>
      </c>
      <c r="P17" s="174" t="s">
        <v>166</v>
      </c>
      <c r="Q17" s="174" t="s">
        <v>173</v>
      </c>
      <c r="R17" s="174" t="s">
        <v>136</v>
      </c>
      <c r="S17" s="174">
        <f>ROUND(VLOOKUP('Green+Social Interface'!$I$38,'Look-ups'!$A$15:$C$43,3,0)*T17,0)</f>
        <v>299</v>
      </c>
      <c r="T17" s="174">
        <v>280</v>
      </c>
      <c r="U17" s="174" t="s">
        <v>191</v>
      </c>
      <c r="Y17" s="175" t="str">
        <f t="shared" si="2"/>
        <v>QLD-Capital City-Couple Only</v>
      </c>
      <c r="Z17" s="175" t="s">
        <v>222</v>
      </c>
      <c r="AA17" s="175" t="s">
        <v>172</v>
      </c>
      <c r="AB17" s="175" t="s">
        <v>221</v>
      </c>
      <c r="AC17" s="175">
        <f>VLOOKUP('Green+Social Interface'!$I$38,'Look-ups'!$A$15:$C$43,2,0)*192</f>
        <v>203.52</v>
      </c>
      <c r="AD17" s="175">
        <f>VLOOKUP('Green+Social Interface'!$I$38,'Look-ups'!$A$15:$C$43,2,0)*182</f>
        <v>192.92000000000002</v>
      </c>
      <c r="AE17" s="175">
        <f>VLOOKUP('Green+Social Interface'!$I$38,'Look-ups'!$A$15:$C$43,2,0)*205</f>
        <v>217.3</v>
      </c>
      <c r="AF17" s="175">
        <f>VLOOKUP('Green+Social Interface'!$I$38,'Look-ups'!$A$15:$C$43,2,0)*227</f>
        <v>240.62</v>
      </c>
      <c r="AG17" s="175">
        <f>VLOOKUP('Green+Social Interface'!$I$38,'Look-ups'!$A$15:$C$43,2,0)*285</f>
        <v>302.1</v>
      </c>
    </row>
    <row r="18" spans="1:33" ht="15">
      <c r="A18" s="175">
        <v>2025</v>
      </c>
      <c r="B18" s="426">
        <f>B17+0.025</f>
        <v>1.115</v>
      </c>
      <c r="C18" s="428">
        <f>C17+0.025</f>
        <v>1.1219999999999999</v>
      </c>
      <c r="D18" s="178">
        <v>2</v>
      </c>
      <c r="G18" s="174"/>
      <c r="H18" s="174"/>
      <c r="I18" s="174" t="str">
        <f t="shared" si="0"/>
        <v>Regional City-Flat-4-bed</v>
      </c>
      <c r="J18" s="174" t="s">
        <v>173</v>
      </c>
      <c r="K18" s="174" t="s">
        <v>176</v>
      </c>
      <c r="L18" s="174" t="s">
        <v>9</v>
      </c>
      <c r="M18" s="174">
        <v>1.4642857142857142</v>
      </c>
      <c r="N18" s="174"/>
      <c r="O18" s="174" t="str">
        <f t="shared" si="1"/>
        <v>Qld-Regional City-Flat</v>
      </c>
      <c r="P18" s="174" t="s">
        <v>166</v>
      </c>
      <c r="Q18" s="174" t="s">
        <v>173</v>
      </c>
      <c r="R18" s="174" t="s">
        <v>176</v>
      </c>
      <c r="S18" s="174">
        <f>ROUND(VLOOKUP('Green+Social Interface'!$I$38,'Look-ups'!$A$15:$C$43,3,0)*T18,0)</f>
        <v>288</v>
      </c>
      <c r="T18" s="174">
        <v>270</v>
      </c>
      <c r="U18" s="174"/>
      <c r="Y18" s="175" t="str">
        <f t="shared" si="2"/>
        <v>QLD-Regional City-Lone Person</v>
      </c>
      <c r="Z18" s="175" t="s">
        <v>222</v>
      </c>
      <c r="AA18" s="175" t="s">
        <v>173</v>
      </c>
      <c r="AB18" s="175" t="s">
        <v>225</v>
      </c>
      <c r="AC18" s="175">
        <f>VLOOKUP('Green+Social Interface'!$I$38,'Look-ups'!$A$15:$C$43,2,0)*91</f>
        <v>96.46000000000001</v>
      </c>
      <c r="AD18" s="175">
        <f>VLOOKUP('Green+Social Interface'!$I$38,'Look-ups'!$A$15:$C$43,2,0)*129</f>
        <v>136.74</v>
      </c>
      <c r="AE18" s="175">
        <f>VLOOKUP('Green+Social Interface'!$I$38,'Look-ups'!$A$15:$C$43,2,0)*155</f>
        <v>164.3</v>
      </c>
      <c r="AF18" s="175">
        <f>VLOOKUP('Green+Social Interface'!$I$38,'Look-ups'!$A$15:$C$43,2,0)*190</f>
        <v>201.4</v>
      </c>
      <c r="AG18" s="175">
        <f>VLOOKUP('Green+Social Interface'!$I$38,'Look-ups'!$A$15:$C$43,2,0)*180</f>
        <v>190.8</v>
      </c>
    </row>
    <row r="19" spans="1:33" ht="15">
      <c r="A19" s="175">
        <v>2026</v>
      </c>
      <c r="B19" s="426">
        <f aca="true" t="shared" si="3" ref="B19:B43">B18+0.025</f>
        <v>1.14</v>
      </c>
      <c r="C19" s="428">
        <f aca="true" t="shared" si="4" ref="C19:C43">C18+0.025</f>
        <v>1.1469999999999998</v>
      </c>
      <c r="D19" s="178">
        <v>2.5</v>
      </c>
      <c r="G19" s="174"/>
      <c r="H19" s="174"/>
      <c r="I19" s="174" t="str">
        <f t="shared" si="0"/>
        <v>Regional City-House-1-bed</v>
      </c>
      <c r="J19" s="174" t="s">
        <v>173</v>
      </c>
      <c r="K19" s="174" t="s">
        <v>136</v>
      </c>
      <c r="L19" s="174" t="s">
        <v>6</v>
      </c>
      <c r="M19" s="174">
        <v>0.6666666666666666</v>
      </c>
      <c r="N19" s="174"/>
      <c r="O19" s="174" t="str">
        <f t="shared" si="1"/>
        <v>SA-Capital City-House</v>
      </c>
      <c r="P19" s="174" t="s">
        <v>167</v>
      </c>
      <c r="Q19" s="174" t="s">
        <v>172</v>
      </c>
      <c r="R19" s="174" t="s">
        <v>136</v>
      </c>
      <c r="S19" s="174">
        <f>ROUND(VLOOKUP('Green+Social Interface'!$I$38,'Look-ups'!$A$15:$C$43,3,0)*T19,0)</f>
        <v>307</v>
      </c>
      <c r="T19" s="174">
        <v>287.5</v>
      </c>
      <c r="U19" s="174" t="s">
        <v>192</v>
      </c>
      <c r="Y19" s="175" t="str">
        <f t="shared" si="2"/>
        <v>QLD-Regional City-Couple Only</v>
      </c>
      <c r="Z19" s="175" t="s">
        <v>222</v>
      </c>
      <c r="AA19" s="175" t="s">
        <v>173</v>
      </c>
      <c r="AB19" s="175" t="s">
        <v>221</v>
      </c>
      <c r="AC19" s="175">
        <f>VLOOKUP('Green+Social Interface'!$I$38,'Look-ups'!$A$15:$C$43,2,0)*146</f>
        <v>154.76000000000002</v>
      </c>
      <c r="AD19" s="175">
        <f>VLOOKUP('Green+Social Interface'!$I$38,'Look-ups'!$A$15:$C$43,2,0)*139</f>
        <v>147.34</v>
      </c>
      <c r="AE19" s="175">
        <f>VLOOKUP('Green+Social Interface'!$I$38,'Look-ups'!$A$15:$C$43,2,0)*157</f>
        <v>166.42000000000002</v>
      </c>
      <c r="AF19" s="175">
        <f>VLOOKUP('Green+Social Interface'!$I$38,'Look-ups'!$A$15:$C$43,2,0)*173</f>
        <v>183.38</v>
      </c>
      <c r="AG19" s="175">
        <f>VLOOKUP('Green+Social Interface'!$I$38,'Look-ups'!$A$15:$C$43,2,0)*217</f>
        <v>230.02</v>
      </c>
    </row>
    <row r="20" spans="1:33" ht="15">
      <c r="A20" s="175">
        <v>2027</v>
      </c>
      <c r="B20" s="426">
        <f t="shared" si="3"/>
        <v>1.1649999999999998</v>
      </c>
      <c r="C20" s="428">
        <f t="shared" si="4"/>
        <v>1.1719999999999997</v>
      </c>
      <c r="D20" s="178">
        <v>3</v>
      </c>
      <c r="G20" s="174"/>
      <c r="H20" s="174"/>
      <c r="I20" s="174" t="str">
        <f t="shared" si="0"/>
        <v>Regional City-House-2-bed</v>
      </c>
      <c r="J20" s="174" t="s">
        <v>173</v>
      </c>
      <c r="K20" s="174" t="s">
        <v>136</v>
      </c>
      <c r="L20" s="174" t="s">
        <v>7</v>
      </c>
      <c r="M20" s="174">
        <v>1</v>
      </c>
      <c r="N20" s="174"/>
      <c r="O20" s="174" t="str">
        <f t="shared" si="1"/>
        <v>SA-Capital City-Flat</v>
      </c>
      <c r="P20" s="174" t="s">
        <v>167</v>
      </c>
      <c r="Q20" s="174" t="s">
        <v>172</v>
      </c>
      <c r="R20" s="174" t="s">
        <v>176</v>
      </c>
      <c r="S20" s="174">
        <f>ROUND(VLOOKUP('Green+Social Interface'!$I$38,'Look-ups'!$A$15:$C$43,3,0)*T20,0)</f>
        <v>288</v>
      </c>
      <c r="T20" s="174">
        <v>270</v>
      </c>
      <c r="U20" s="174"/>
      <c r="Y20" s="175" t="str">
        <f t="shared" si="2"/>
        <v>SA-Capital City-Lone Person</v>
      </c>
      <c r="Z20" s="175" t="s">
        <v>167</v>
      </c>
      <c r="AA20" s="175" t="s">
        <v>172</v>
      </c>
      <c r="AB20" s="175" t="s">
        <v>225</v>
      </c>
      <c r="AC20" s="175">
        <f>VLOOKUP('Green+Social Interface'!$I$38,'Look-ups'!$A$15:$C$43,2,0)*91</f>
        <v>96.46000000000001</v>
      </c>
      <c r="AD20" s="175">
        <f>VLOOKUP('Green+Social Interface'!$I$38,'Look-ups'!$A$15:$C$43,2,0)*129</f>
        <v>136.74</v>
      </c>
      <c r="AE20" s="175">
        <f>VLOOKUP('Green+Social Interface'!$I$38,'Look-ups'!$A$15:$C$43,2,0)*155</f>
        <v>164.3</v>
      </c>
      <c r="AF20" s="175">
        <f>VLOOKUP('Green+Social Interface'!$I$38,'Look-ups'!$A$15:$C$43,2,0)*190</f>
        <v>201.4</v>
      </c>
      <c r="AG20" s="175">
        <f>VLOOKUP('Green+Social Interface'!$I$38,'Look-ups'!$A$15:$C$43,2,0)*180</f>
        <v>190.8</v>
      </c>
    </row>
    <row r="21" spans="1:33" ht="15">
      <c r="A21" s="175">
        <v>2028</v>
      </c>
      <c r="B21" s="426">
        <f t="shared" si="3"/>
        <v>1.1899999999999997</v>
      </c>
      <c r="C21" s="428">
        <f t="shared" si="4"/>
        <v>1.1969999999999996</v>
      </c>
      <c r="D21" s="178">
        <v>3.5</v>
      </c>
      <c r="G21" s="174"/>
      <c r="H21" s="174"/>
      <c r="I21" s="174" t="str">
        <f t="shared" si="0"/>
        <v>Regional City-House-3-bed</v>
      </c>
      <c r="J21" s="174" t="s">
        <v>173</v>
      </c>
      <c r="K21" s="174" t="s">
        <v>136</v>
      </c>
      <c r="L21" s="174" t="s">
        <v>8</v>
      </c>
      <c r="M21" s="174">
        <v>1.1666666666666667</v>
      </c>
      <c r="N21" s="174"/>
      <c r="O21" s="174" t="str">
        <f t="shared" si="1"/>
        <v>SA-Regional City-House</v>
      </c>
      <c r="P21" s="174" t="s">
        <v>167</v>
      </c>
      <c r="Q21" s="174" t="s">
        <v>173</v>
      </c>
      <c r="R21" s="174" t="s">
        <v>136</v>
      </c>
      <c r="S21" s="174">
        <f>ROUND(VLOOKUP('Green+Social Interface'!$I$38,'Look-ups'!$A$15:$C$43,3,0)*T21,0)</f>
        <v>173</v>
      </c>
      <c r="T21" s="174">
        <v>162</v>
      </c>
      <c r="U21" s="174" t="s">
        <v>193</v>
      </c>
      <c r="Y21" s="175" t="str">
        <f t="shared" si="2"/>
        <v>SA-Capital City-Couple Only</v>
      </c>
      <c r="Z21" s="175" t="s">
        <v>167</v>
      </c>
      <c r="AA21" s="175" t="s">
        <v>172</v>
      </c>
      <c r="AB21" s="175" t="s">
        <v>221</v>
      </c>
      <c r="AC21" s="175">
        <f>VLOOKUP('Green+Social Interface'!$I$38,'Look-ups'!$A$15:$C$43,2,0)*146</f>
        <v>154.76000000000002</v>
      </c>
      <c r="AD21" s="175">
        <f>VLOOKUP('Green+Social Interface'!$I$38,'Look-ups'!$A$15:$C$43,2,0)*139</f>
        <v>147.34</v>
      </c>
      <c r="AE21" s="175">
        <f>VLOOKUP('Green+Social Interface'!$I$38,'Look-ups'!$A$15:$C$43,2,0)*157</f>
        <v>166.42000000000002</v>
      </c>
      <c r="AF21" s="175">
        <f>VLOOKUP('Green+Social Interface'!$I$38,'Look-ups'!$A$15:$C$43,2,0)*173</f>
        <v>183.38</v>
      </c>
      <c r="AG21" s="175">
        <f>VLOOKUP('Green+Social Interface'!$I$38,'Look-ups'!$A$15:$C$43,2,0)*217</f>
        <v>230.02</v>
      </c>
    </row>
    <row r="22" spans="1:33" ht="15">
      <c r="A22" s="175">
        <v>2029</v>
      </c>
      <c r="B22" s="426">
        <f t="shared" si="3"/>
        <v>1.2149999999999996</v>
      </c>
      <c r="C22" s="428">
        <f t="shared" si="4"/>
        <v>1.2219999999999995</v>
      </c>
      <c r="D22" s="178">
        <v>4</v>
      </c>
      <c r="G22" s="174"/>
      <c r="H22" s="174"/>
      <c r="I22" s="174" t="str">
        <f t="shared" si="0"/>
        <v>Regional City-House-4-bed</v>
      </c>
      <c r="J22" s="174" t="s">
        <v>173</v>
      </c>
      <c r="K22" s="174" t="s">
        <v>136</v>
      </c>
      <c r="L22" s="174" t="s">
        <v>9</v>
      </c>
      <c r="M22" s="174">
        <v>1.5</v>
      </c>
      <c r="N22" s="174"/>
      <c r="O22" s="174" t="str">
        <f t="shared" si="1"/>
        <v>SA-Regional City-Flat</v>
      </c>
      <c r="P22" s="174" t="s">
        <v>167</v>
      </c>
      <c r="Q22" s="174" t="s">
        <v>173</v>
      </c>
      <c r="R22" s="174" t="s">
        <v>176</v>
      </c>
      <c r="S22" s="174">
        <f>ROUND(VLOOKUP('Green+Social Interface'!$I$38,'Look-ups'!$A$15:$C$43,3,0)*T22,0)</f>
        <v>205</v>
      </c>
      <c r="T22" s="174">
        <v>192.5</v>
      </c>
      <c r="U22" s="174"/>
      <c r="Y22" s="175" t="str">
        <f t="shared" si="2"/>
        <v>SA-Regional City-Lone Person</v>
      </c>
      <c r="Z22" s="175" t="s">
        <v>167</v>
      </c>
      <c r="AA22" s="175" t="s">
        <v>173</v>
      </c>
      <c r="AB22" s="175" t="s">
        <v>225</v>
      </c>
      <c r="AC22" s="175">
        <f>VLOOKUP('Green+Social Interface'!$I$38,'Look-ups'!$A$15:$C$43,2,0)*87</f>
        <v>92.22</v>
      </c>
      <c r="AD22" s="175">
        <f>VLOOKUP('Green+Social Interface'!$I$38,'Look-ups'!$A$15:$C$43,2,0)*125</f>
        <v>132.5</v>
      </c>
      <c r="AE22" s="175">
        <f>VLOOKUP('Green+Social Interface'!$I$38,'Look-ups'!$A$15:$C$43,2,0)*150</f>
        <v>159</v>
      </c>
      <c r="AF22" s="175">
        <f>VLOOKUP('Green+Social Interface'!$I$38,'Look-ups'!$A$15:$C$43,2,0)*183</f>
        <v>193.98000000000002</v>
      </c>
      <c r="AG22" s="175">
        <f>VLOOKUP('Green+Social Interface'!$I$38,'Look-ups'!$A$15:$C$43,2,0)*174</f>
        <v>184.44</v>
      </c>
    </row>
    <row r="23" spans="1:33" ht="15">
      <c r="A23" s="175">
        <v>2030</v>
      </c>
      <c r="B23" s="426">
        <f t="shared" si="3"/>
        <v>1.2399999999999995</v>
      </c>
      <c r="C23" s="428">
        <f t="shared" si="4"/>
        <v>1.2469999999999994</v>
      </c>
      <c r="D23" s="178">
        <v>4.5</v>
      </c>
      <c r="G23" s="174"/>
      <c r="H23" s="174"/>
      <c r="I23" s="174" t="str">
        <f t="shared" si="0"/>
        <v>Regional City-House-5-bed</v>
      </c>
      <c r="J23" s="174" t="s">
        <v>173</v>
      </c>
      <c r="K23" s="174" t="s">
        <v>136</v>
      </c>
      <c r="L23" s="174" t="s">
        <v>11</v>
      </c>
      <c r="M23" s="174">
        <v>1.6666666666666667</v>
      </c>
      <c r="N23" s="174"/>
      <c r="O23" s="174" t="str">
        <f t="shared" si="1"/>
        <v>Tas-Capital City-House</v>
      </c>
      <c r="P23" s="174" t="s">
        <v>168</v>
      </c>
      <c r="Q23" s="174" t="s">
        <v>172</v>
      </c>
      <c r="R23" s="174" t="s">
        <v>136</v>
      </c>
      <c r="S23" s="174">
        <f>ROUND(VLOOKUP('Green+Social Interface'!$I$38,'Look-ups'!$A$15:$C$43,3,0)*T23,0)</f>
        <v>416</v>
      </c>
      <c r="T23" s="174">
        <v>390</v>
      </c>
      <c r="U23" s="174" t="s">
        <v>194</v>
      </c>
      <c r="Y23" s="175" t="str">
        <f t="shared" si="2"/>
        <v>SA-Regional City-Couple Only</v>
      </c>
      <c r="Z23" s="175" t="s">
        <v>167</v>
      </c>
      <c r="AA23" s="175" t="s">
        <v>173</v>
      </c>
      <c r="AB23" s="175" t="s">
        <v>221</v>
      </c>
      <c r="AC23" s="175">
        <f>VLOOKUP('Green+Social Interface'!$I$38,'Look-ups'!$A$15:$C$43,2,0)*141</f>
        <v>149.46</v>
      </c>
      <c r="AD23" s="175">
        <f>VLOOKUP('Green+Social Interface'!$I$38,'Look-ups'!$A$15:$C$43,2,0)*134</f>
        <v>142.04000000000002</v>
      </c>
      <c r="AE23" s="175">
        <f>VLOOKUP('Green+Social Interface'!$I$38,'Look-ups'!$A$15:$C$43,2,0)*151</f>
        <v>160.06</v>
      </c>
      <c r="AF23" s="175">
        <f>VLOOKUP('Green+Social Interface'!$I$38,'Look-ups'!$A$15:$C$43,2,0)*167</f>
        <v>177.02</v>
      </c>
      <c r="AG23" s="175">
        <f>VLOOKUP('Green+Social Interface'!$I$38,'Look-ups'!$A$15:$C$43,2,0)*210</f>
        <v>222.60000000000002</v>
      </c>
    </row>
    <row r="24" spans="1:33" ht="15">
      <c r="A24" s="175">
        <v>2031</v>
      </c>
      <c r="B24" s="426">
        <f t="shared" si="3"/>
        <v>1.2649999999999995</v>
      </c>
      <c r="C24" s="428">
        <f t="shared" si="4"/>
        <v>1.2719999999999994</v>
      </c>
      <c r="D24" s="178">
        <v>5</v>
      </c>
      <c r="G24" s="174"/>
      <c r="H24" s="174"/>
      <c r="I24" s="174" t="str">
        <f t="shared" si="0"/>
        <v>Regional City-House-6-bed</v>
      </c>
      <c r="J24" s="174" t="s">
        <v>173</v>
      </c>
      <c r="K24" s="174" t="s">
        <v>136</v>
      </c>
      <c r="L24" s="174" t="s">
        <v>175</v>
      </c>
      <c r="M24" s="174">
        <v>1.8333333333333333</v>
      </c>
      <c r="N24" s="174"/>
      <c r="O24" s="174" t="str">
        <f t="shared" si="1"/>
        <v>Tas-Capital City-Flat</v>
      </c>
      <c r="P24" s="174" t="s">
        <v>168</v>
      </c>
      <c r="Q24" s="174" t="s">
        <v>172</v>
      </c>
      <c r="R24" s="174" t="s">
        <v>176</v>
      </c>
      <c r="S24" s="174">
        <f>ROUND(VLOOKUP('Green+Social Interface'!$I$38,'Look-ups'!$A$15:$C$43,3,0)*T24,0)</f>
        <v>421</v>
      </c>
      <c r="T24" s="174">
        <v>395</v>
      </c>
      <c r="U24" s="174"/>
      <c r="Y24" s="175" t="str">
        <f t="shared" si="2"/>
        <v>TAS-Capital City-Lone Person</v>
      </c>
      <c r="Z24" s="175" t="s">
        <v>223</v>
      </c>
      <c r="AA24" s="175" t="s">
        <v>172</v>
      </c>
      <c r="AB24" s="175" t="s">
        <v>225</v>
      </c>
      <c r="AC24" s="175">
        <f>VLOOKUP('Green+Social Interface'!$I$38,'Look-ups'!$A$15:$C$43,2,0)*86</f>
        <v>91.16000000000001</v>
      </c>
      <c r="AD24" s="175">
        <f>VLOOKUP('Green+Social Interface'!$I$38,'Look-ups'!$A$15:$C$43,2,0)*123</f>
        <v>130.38</v>
      </c>
      <c r="AE24" s="175">
        <f>VLOOKUP('Green+Social Interface'!$I$38,'Look-ups'!$A$15:$C$43,2,0)*147</f>
        <v>155.82000000000002</v>
      </c>
      <c r="AF24" s="175">
        <f>VLOOKUP('Green+Social Interface'!$I$38,'Look-ups'!$A$15:$C$43,2,0)*180</f>
        <v>190.8</v>
      </c>
      <c r="AG24" s="175">
        <f>VLOOKUP('Green+Social Interface'!$I$38,'Look-ups'!$A$15:$C$43,2,0)*171</f>
        <v>181.26000000000002</v>
      </c>
    </row>
    <row r="25" spans="1:33" ht="15">
      <c r="A25" s="175">
        <v>2032</v>
      </c>
      <c r="B25" s="426">
        <f t="shared" si="3"/>
        <v>1.2899999999999994</v>
      </c>
      <c r="C25" s="428">
        <f t="shared" si="4"/>
        <v>1.2969999999999993</v>
      </c>
      <c r="D25" s="178">
        <v>5.5</v>
      </c>
      <c r="G25" s="174"/>
      <c r="H25" s="174"/>
      <c r="I25" s="174"/>
      <c r="J25" s="174"/>
      <c r="K25" s="174"/>
      <c r="L25" s="174"/>
      <c r="M25" s="174"/>
      <c r="N25" s="174"/>
      <c r="O25" s="174" t="str">
        <f t="shared" si="1"/>
        <v>Tas-Regional City-House</v>
      </c>
      <c r="P25" s="174" t="s">
        <v>168</v>
      </c>
      <c r="Q25" s="174" t="s">
        <v>173</v>
      </c>
      <c r="R25" s="174" t="s">
        <v>136</v>
      </c>
      <c r="S25" s="174">
        <f>ROUND(VLOOKUP('Green+Social Interface'!$I$38,'Look-ups'!$A$15:$C$43,3,0)*T25,0)</f>
        <v>373</v>
      </c>
      <c r="T25" s="174">
        <v>350</v>
      </c>
      <c r="U25" s="174" t="s">
        <v>195</v>
      </c>
      <c r="Y25" s="175" t="str">
        <f t="shared" si="2"/>
        <v>TAS-Capital City-Couple Only</v>
      </c>
      <c r="Z25" s="175" t="s">
        <v>223</v>
      </c>
      <c r="AA25" s="175" t="s">
        <v>172</v>
      </c>
      <c r="AB25" s="175" t="s">
        <v>221</v>
      </c>
      <c r="AC25" s="175">
        <f>VLOOKUP('Green+Social Interface'!$I$38,'Look-ups'!$A$15:$C$43,2,0)*139</f>
        <v>147.34</v>
      </c>
      <c r="AD25" s="175">
        <f>VLOOKUP('Green+Social Interface'!$I$38,'Look-ups'!$A$15:$C$43,2,0)*131</f>
        <v>138.86</v>
      </c>
      <c r="AE25" s="175">
        <f>VLOOKUP('Green+Social Interface'!$I$38,'Look-ups'!$A$15:$C$43,2,0)*148</f>
        <v>156.88</v>
      </c>
      <c r="AF25" s="175">
        <f>VLOOKUP('Green+Social Interface'!$I$38,'Look-ups'!$A$15:$C$43,2,0)*164</f>
        <v>173.84</v>
      </c>
      <c r="AG25" s="175">
        <f>VLOOKUP('Green+Social Interface'!$I$38,'Look-ups'!$A$15:$C$43,2,0)*206</f>
        <v>218.36</v>
      </c>
    </row>
    <row r="26" spans="1:33" ht="15">
      <c r="A26" s="175">
        <v>2033</v>
      </c>
      <c r="B26" s="426">
        <f t="shared" si="3"/>
        <v>1.3149999999999993</v>
      </c>
      <c r="C26" s="428">
        <f t="shared" si="4"/>
        <v>1.3219999999999992</v>
      </c>
      <c r="D26" s="178">
        <v>6</v>
      </c>
      <c r="G26" s="174"/>
      <c r="H26" s="174"/>
      <c r="I26" s="472" t="s">
        <v>174</v>
      </c>
      <c r="J26" s="472"/>
      <c r="K26" s="472"/>
      <c r="L26" s="472"/>
      <c r="M26" s="472"/>
      <c r="N26" s="174"/>
      <c r="O26" s="174" t="str">
        <f t="shared" si="1"/>
        <v>Tas-Regional City-Flat</v>
      </c>
      <c r="P26" s="174" t="s">
        <v>168</v>
      </c>
      <c r="Q26" s="174" t="s">
        <v>173</v>
      </c>
      <c r="R26" s="174" t="s">
        <v>176</v>
      </c>
      <c r="S26" s="174">
        <f>ROUND(VLOOKUP('Green+Social Interface'!$I$38,'Look-ups'!$A$15:$C$43,3,0)*T26,0)</f>
        <v>331</v>
      </c>
      <c r="T26" s="174">
        <v>310</v>
      </c>
      <c r="U26" s="174"/>
      <c r="Y26" s="175" t="str">
        <f t="shared" si="2"/>
        <v>TAS-Regional City-Lone Person</v>
      </c>
      <c r="Z26" s="175" t="s">
        <v>223</v>
      </c>
      <c r="AA26" s="175" t="s">
        <v>173</v>
      </c>
      <c r="AB26" s="175" t="s">
        <v>225</v>
      </c>
      <c r="AC26" s="175">
        <f>VLOOKUP('Green+Social Interface'!$I$38,'Look-ups'!$A$15:$C$43,2,0)*130</f>
        <v>137.8</v>
      </c>
      <c r="AD26" s="175">
        <f>VLOOKUP('Green+Social Interface'!$I$38,'Look-ups'!$A$15:$C$43,2,0)*185</f>
        <v>196.10000000000002</v>
      </c>
      <c r="AE26" s="175">
        <f>VLOOKUP('Green+Social Interface'!$I$38,'Look-ups'!$A$15:$C$43,2,0)*222</f>
        <v>235.32000000000002</v>
      </c>
      <c r="AF26" s="175">
        <f>VLOOKUP('Green+Social Interface'!$I$38,'Look-ups'!$A$15:$C$43,2,0)*272</f>
        <v>288.32</v>
      </c>
      <c r="AG26" s="175">
        <f>VLOOKUP('Green+Social Interface'!$I$38,'Look-ups'!$A$15:$C$43,2,0)*258</f>
        <v>273.48</v>
      </c>
    </row>
    <row r="27" spans="1:33" ht="15">
      <c r="A27" s="175">
        <v>2034</v>
      </c>
      <c r="B27" s="426">
        <f t="shared" si="3"/>
        <v>1.3399999999999992</v>
      </c>
      <c r="C27" s="428">
        <f t="shared" si="4"/>
        <v>1.346999999999999</v>
      </c>
      <c r="D27" s="178">
        <v>6.5</v>
      </c>
      <c r="G27" s="174"/>
      <c r="H27" s="174"/>
      <c r="I27" s="472"/>
      <c r="J27" s="472"/>
      <c r="K27" s="472"/>
      <c r="L27" s="472"/>
      <c r="M27" s="472"/>
      <c r="N27" s="174"/>
      <c r="O27" s="174" t="str">
        <f t="shared" si="1"/>
        <v>Vic-Capital City-House</v>
      </c>
      <c r="P27" s="174" t="s">
        <v>169</v>
      </c>
      <c r="Q27" s="174" t="s">
        <v>172</v>
      </c>
      <c r="R27" s="174" t="s">
        <v>136</v>
      </c>
      <c r="S27" s="174">
        <f>ROUND(VLOOKUP('Green+Social Interface'!$I$38,'Look-ups'!$A$15:$C$43,3,0)*T27,0)</f>
        <v>357</v>
      </c>
      <c r="T27" s="174">
        <v>335</v>
      </c>
      <c r="U27" s="174" t="s">
        <v>196</v>
      </c>
      <c r="Y27" s="175" t="str">
        <f t="shared" si="2"/>
        <v>TAS-Regional City-Couple Only</v>
      </c>
      <c r="Z27" s="175" t="s">
        <v>223</v>
      </c>
      <c r="AA27" s="175" t="s">
        <v>173</v>
      </c>
      <c r="AB27" s="175" t="s">
        <v>221</v>
      </c>
      <c r="AC27" s="175">
        <f>VLOOKUP('Green+Social Interface'!$I$38,'Look-ups'!$A$15:$C$43,2,0)*210</f>
        <v>222.60000000000002</v>
      </c>
      <c r="AD27" s="175">
        <f>VLOOKUP('Green+Social Interface'!$I$38,'Look-ups'!$A$15:$C$43,2,0)*198</f>
        <v>209.88000000000002</v>
      </c>
      <c r="AE27" s="175">
        <f>VLOOKUP('Green+Social Interface'!$I$38,'Look-ups'!$A$15:$C$43,2,0)*224</f>
        <v>237.44</v>
      </c>
      <c r="AF27" s="175">
        <f>VLOOKUP('Green+Social Interface'!$I$38,'Look-ups'!$A$15:$C$43,2,0)*248</f>
        <v>262.88</v>
      </c>
      <c r="AG27" s="175">
        <f>VLOOKUP('Green+Social Interface'!$I$38,'Look-ups'!$A$15:$C$43,2,0)*311</f>
        <v>329.66</v>
      </c>
    </row>
    <row r="28" spans="1:33" ht="15">
      <c r="A28" s="175">
        <v>2035</v>
      </c>
      <c r="B28" s="426">
        <f t="shared" si="3"/>
        <v>1.364999999999999</v>
      </c>
      <c r="C28" s="428">
        <f t="shared" si="4"/>
        <v>1.371999999999999</v>
      </c>
      <c r="D28" s="178">
        <v>7</v>
      </c>
      <c r="G28" s="174"/>
      <c r="H28" s="174"/>
      <c r="I28" s="472"/>
      <c r="J28" s="472"/>
      <c r="K28" s="472"/>
      <c r="L28" s="472"/>
      <c r="M28" s="472"/>
      <c r="N28" s="174"/>
      <c r="O28" s="174" t="str">
        <f t="shared" si="1"/>
        <v>Vic-Capital City-Flat</v>
      </c>
      <c r="P28" s="174" t="s">
        <v>169</v>
      </c>
      <c r="Q28" s="174" t="s">
        <v>172</v>
      </c>
      <c r="R28" s="174" t="s">
        <v>176</v>
      </c>
      <c r="S28" s="174">
        <f>ROUND(VLOOKUP('Green+Social Interface'!$I$38,'Look-ups'!$A$15:$C$43,3,0)*T28,0)</f>
        <v>341</v>
      </c>
      <c r="T28" s="174">
        <v>320</v>
      </c>
      <c r="U28" s="174"/>
      <c r="Y28" s="175" t="str">
        <f t="shared" si="2"/>
        <v>VIC-Capital City-Lone Person</v>
      </c>
      <c r="Z28" s="175" t="s">
        <v>224</v>
      </c>
      <c r="AA28" s="175" t="s">
        <v>172</v>
      </c>
      <c r="AB28" s="175" t="s">
        <v>225</v>
      </c>
      <c r="AC28" s="175">
        <f>VLOOKUP('Green+Social Interface'!$I$38,'Look-ups'!$A$15:$C$43,2,0)*108</f>
        <v>114.48</v>
      </c>
      <c r="AD28" s="175">
        <f>VLOOKUP('Green+Social Interface'!$I$38,'Look-ups'!$A$15:$C$43,2,0)*155</f>
        <v>164.3</v>
      </c>
      <c r="AE28" s="175">
        <f>VLOOKUP('Green+Social Interface'!$I$38,'Look-ups'!$A$15:$C$43,2,0)*186</f>
        <v>197.16</v>
      </c>
      <c r="AF28" s="175">
        <f>VLOOKUP('Green+Social Interface'!$I$38,'Look-ups'!$A$15:$C$43,2,0)*227</f>
        <v>240.62</v>
      </c>
      <c r="AG28" s="175">
        <f>VLOOKUP('Green+Social Interface'!$I$38,'Look-ups'!$A$15:$C$43,2,0)*216</f>
        <v>228.96</v>
      </c>
    </row>
    <row r="29" spans="1:33" ht="15">
      <c r="A29" s="175">
        <v>2036</v>
      </c>
      <c r="B29" s="426">
        <f t="shared" si="3"/>
        <v>1.389999999999999</v>
      </c>
      <c r="C29" s="428">
        <f t="shared" si="4"/>
        <v>1.396999999999999</v>
      </c>
      <c r="D29" s="178">
        <v>7.5</v>
      </c>
      <c r="G29" s="174"/>
      <c r="H29" s="174"/>
      <c r="I29" s="472"/>
      <c r="J29" s="472"/>
      <c r="K29" s="472"/>
      <c r="L29" s="472"/>
      <c r="M29" s="472"/>
      <c r="N29" s="174"/>
      <c r="O29" s="174" t="str">
        <f t="shared" si="1"/>
        <v>Vic-Regional City-House</v>
      </c>
      <c r="P29" s="174" t="s">
        <v>169</v>
      </c>
      <c r="Q29" s="174" t="s">
        <v>173</v>
      </c>
      <c r="R29" s="174" t="s">
        <v>136</v>
      </c>
      <c r="S29" s="174">
        <f>ROUND(VLOOKUP('Green+Social Interface'!$I$38,'Look-ups'!$A$15:$C$43,3,0)*T29,0)</f>
        <v>309</v>
      </c>
      <c r="T29" s="174">
        <v>290</v>
      </c>
      <c r="U29" s="174" t="s">
        <v>197</v>
      </c>
      <c r="Y29" s="175" t="str">
        <f t="shared" si="2"/>
        <v>VIC-Capital City-Couple Only</v>
      </c>
      <c r="Z29" s="175" t="s">
        <v>224</v>
      </c>
      <c r="AA29" s="175" t="s">
        <v>172</v>
      </c>
      <c r="AB29" s="175" t="s">
        <v>221</v>
      </c>
      <c r="AC29" s="175">
        <f>VLOOKUP('Green+Social Interface'!$I$38,'Look-ups'!$A$15:$C$43,2,0)*175</f>
        <v>185.5</v>
      </c>
      <c r="AD29" s="175">
        <f>VLOOKUP('Green+Social Interface'!$I$38,'Look-ups'!$A$15:$C$43,2,0)*166</f>
        <v>175.96</v>
      </c>
      <c r="AE29" s="175">
        <f>VLOOKUP('Green+Social Interface'!$I$38,'Look-ups'!$A$15:$C$43,2,0)*188</f>
        <v>199.28</v>
      </c>
      <c r="AF29" s="175">
        <f>VLOOKUP('Green+Social Interface'!$I$38,'Look-ups'!$A$15:$C$43,2,0)*208</f>
        <v>220.48000000000002</v>
      </c>
      <c r="AG29" s="175">
        <f>VLOOKUP('Green+Social Interface'!$I$38,'Look-ups'!$A$15:$C$43,2,0)*261</f>
        <v>276.66</v>
      </c>
    </row>
    <row r="30" spans="1:33" ht="15">
      <c r="A30" s="175">
        <v>2037</v>
      </c>
      <c r="B30" s="426">
        <f t="shared" si="3"/>
        <v>1.414999999999999</v>
      </c>
      <c r="C30" s="428">
        <f t="shared" si="4"/>
        <v>1.4219999999999988</v>
      </c>
      <c r="D30" s="178">
        <v>8</v>
      </c>
      <c r="G30" s="174"/>
      <c r="H30" s="174"/>
      <c r="I30" s="174"/>
      <c r="J30" s="174"/>
      <c r="K30" s="174"/>
      <c r="L30" s="174"/>
      <c r="M30" s="174"/>
      <c r="N30" s="174"/>
      <c r="O30" s="174" t="str">
        <f t="shared" si="1"/>
        <v>Vic-Regional City-Flat</v>
      </c>
      <c r="P30" s="174" t="s">
        <v>169</v>
      </c>
      <c r="Q30" s="174" t="s">
        <v>173</v>
      </c>
      <c r="R30" s="174" t="s">
        <v>176</v>
      </c>
      <c r="S30" s="174">
        <f>ROUND(VLOOKUP('Green+Social Interface'!$I$38,'Look-ups'!$A$15:$C$43,3,0)*T30,0)</f>
        <v>277</v>
      </c>
      <c r="T30" s="174">
        <v>260</v>
      </c>
      <c r="U30" s="174"/>
      <c r="Y30" s="175" t="str">
        <f t="shared" si="2"/>
        <v>VIC-Regional City-Lone Person</v>
      </c>
      <c r="Z30" s="175" t="s">
        <v>224</v>
      </c>
      <c r="AA30" s="175" t="s">
        <v>173</v>
      </c>
      <c r="AB30" s="175" t="s">
        <v>225</v>
      </c>
      <c r="AC30" s="175">
        <f>VLOOKUP('Green+Social Interface'!$I$38,'Look-ups'!$A$15:$C$43,2,0)*88</f>
        <v>93.28</v>
      </c>
      <c r="AD30" s="175">
        <f>VLOOKUP('Green+Social Interface'!$I$38,'Look-ups'!$A$15:$C$43,2,0)*126</f>
        <v>133.56</v>
      </c>
      <c r="AE30" s="175">
        <f>VLOOKUP('Green+Social Interface'!$I$38,'Look-ups'!$A$15:$C$43,2,0)*151</f>
        <v>160.06</v>
      </c>
      <c r="AF30" s="175">
        <f>VLOOKUP('Green+Social Interface'!$I$38,'Look-ups'!$A$15:$C$43,2,0)*185</f>
        <v>196.10000000000002</v>
      </c>
      <c r="AG30" s="175">
        <f>VLOOKUP('Green+Social Interface'!$I$38,'Look-ups'!$A$15:$C$43,2,0)*176</f>
        <v>186.56</v>
      </c>
    </row>
    <row r="31" spans="1:33" ht="15">
      <c r="A31" s="175">
        <v>2038</v>
      </c>
      <c r="B31" s="426">
        <f t="shared" si="3"/>
        <v>1.4399999999999988</v>
      </c>
      <c r="C31" s="428">
        <f t="shared" si="4"/>
        <v>1.4469999999999987</v>
      </c>
      <c r="D31" s="178">
        <v>8.5</v>
      </c>
      <c r="G31" s="174"/>
      <c r="H31" s="174"/>
      <c r="I31" s="174"/>
      <c r="J31" s="174"/>
      <c r="K31" s="174"/>
      <c r="L31" s="174"/>
      <c r="M31" s="174"/>
      <c r="N31" s="174"/>
      <c r="O31" s="174" t="str">
        <f t="shared" si="1"/>
        <v>WA-Capital City-House</v>
      </c>
      <c r="P31" s="174" t="s">
        <v>170</v>
      </c>
      <c r="Q31" s="174" t="s">
        <v>172</v>
      </c>
      <c r="R31" s="174" t="s">
        <v>136</v>
      </c>
      <c r="S31" s="174">
        <f>ROUND(VLOOKUP('Green+Social Interface'!$I$38,'Look-ups'!$A$15:$C$43,3,0)*T31,0)</f>
        <v>405</v>
      </c>
      <c r="T31" s="174">
        <v>380</v>
      </c>
      <c r="U31" s="174" t="s">
        <v>198</v>
      </c>
      <c r="Y31" s="175" t="str">
        <f t="shared" si="2"/>
        <v>VIC-Regional City-Couple Only</v>
      </c>
      <c r="Z31" s="175" t="s">
        <v>224</v>
      </c>
      <c r="AA31" s="175" t="s">
        <v>173</v>
      </c>
      <c r="AB31" s="175" t="s">
        <v>221</v>
      </c>
      <c r="AC31" s="175">
        <f>VLOOKUP('Green+Social Interface'!$I$38,'Look-ups'!$A$15:$C$43,2,0)*143</f>
        <v>151.58</v>
      </c>
      <c r="AD31" s="175">
        <f>VLOOKUP('Green+Social Interface'!$I$38,'Look-ups'!$A$15:$C$43,2,0)*135</f>
        <v>143.1</v>
      </c>
      <c r="AE31" s="175">
        <f>VLOOKUP('Green+Social Interface'!$I$38,'Look-ups'!$A$15:$C$43,2,0)*153</f>
        <v>162.18</v>
      </c>
      <c r="AF31" s="175">
        <f>VLOOKUP('Green+Social Interface'!$I$38,'Look-ups'!$A$15:$C$43,2,0)*169</f>
        <v>179.14000000000001</v>
      </c>
      <c r="AG31" s="175">
        <f>VLOOKUP('Green+Social Interface'!$I$38,'Look-ups'!$A$15:$C$43,2,0)*212</f>
        <v>224.72</v>
      </c>
    </row>
    <row r="32" spans="1:33" ht="15">
      <c r="A32" s="175">
        <v>2039</v>
      </c>
      <c r="B32" s="426">
        <f t="shared" si="3"/>
        <v>1.4649999999999987</v>
      </c>
      <c r="C32" s="428">
        <f t="shared" si="4"/>
        <v>1.4719999999999986</v>
      </c>
      <c r="D32" s="178">
        <v>9</v>
      </c>
      <c r="G32" s="174"/>
      <c r="H32" s="174"/>
      <c r="I32" s="174"/>
      <c r="J32" s="174"/>
      <c r="K32" s="174"/>
      <c r="L32" s="174"/>
      <c r="M32" s="174"/>
      <c r="N32" s="174"/>
      <c r="O32" s="174" t="str">
        <f t="shared" si="1"/>
        <v>WA-Capital City-Flat</v>
      </c>
      <c r="P32" s="174" t="s">
        <v>170</v>
      </c>
      <c r="Q32" s="174" t="s">
        <v>172</v>
      </c>
      <c r="R32" s="174" t="s">
        <v>176</v>
      </c>
      <c r="S32" s="174">
        <f>ROUND(VLOOKUP('Green+Social Interface'!$I$38,'Look-ups'!$A$15:$C$43,3,0)*T32,0)</f>
        <v>320</v>
      </c>
      <c r="T32" s="174">
        <v>300</v>
      </c>
      <c r="U32" s="174"/>
      <c r="Y32" s="175" t="str">
        <f t="shared" si="2"/>
        <v>WA-Capital City-Lone Person</v>
      </c>
      <c r="Z32" s="175" t="s">
        <v>170</v>
      </c>
      <c r="AA32" s="175" t="s">
        <v>172</v>
      </c>
      <c r="AB32" s="175" t="s">
        <v>225</v>
      </c>
      <c r="AC32" s="175">
        <f>VLOOKUP('Green+Social Interface'!$I$38,'Look-ups'!$A$15:$C$43,2,0)*99</f>
        <v>104.94000000000001</v>
      </c>
      <c r="AD32" s="175">
        <f>VLOOKUP('Green+Social Interface'!$I$38,'Look-ups'!$A$15:$C$43,2,0)*142</f>
        <v>150.52</v>
      </c>
      <c r="AE32" s="175">
        <f>VLOOKUP('Green+Social Interface'!$I$38,'Look-ups'!$A$15:$C$43,2,0)*170</f>
        <v>180.20000000000002</v>
      </c>
      <c r="AF32" s="175">
        <f>VLOOKUP('Green+Social Interface'!$I$38,'Look-ups'!$A$15:$C$43,2,0)*208</f>
        <v>220.48000000000002</v>
      </c>
      <c r="AG32" s="175">
        <f>VLOOKUP('Green+Social Interface'!$I$38,'Look-ups'!$A$15:$C$43,2,0)*197</f>
        <v>208.82000000000002</v>
      </c>
    </row>
    <row r="33" spans="1:33" ht="15">
      <c r="A33" s="175">
        <v>2040</v>
      </c>
      <c r="B33" s="426">
        <f t="shared" si="3"/>
        <v>1.4899999999999987</v>
      </c>
      <c r="C33" s="428">
        <f t="shared" si="4"/>
        <v>1.4969999999999986</v>
      </c>
      <c r="D33" s="178">
        <v>9.5</v>
      </c>
      <c r="G33" s="174"/>
      <c r="H33" s="174"/>
      <c r="I33" s="174"/>
      <c r="J33" s="174"/>
      <c r="K33" s="174"/>
      <c r="L33" s="174"/>
      <c r="M33" s="174"/>
      <c r="N33" s="174"/>
      <c r="O33" s="174" t="str">
        <f t="shared" si="1"/>
        <v>WA-Regional City-House</v>
      </c>
      <c r="P33" s="174" t="s">
        <v>170</v>
      </c>
      <c r="Q33" s="174" t="s">
        <v>173</v>
      </c>
      <c r="R33" s="174" t="s">
        <v>136</v>
      </c>
      <c r="S33" s="174">
        <f>ROUND(VLOOKUP('Green+Social Interface'!$I$38,'Look-ups'!$A$15:$C$43,3,0)*T33,0)</f>
        <v>381</v>
      </c>
      <c r="T33" s="174">
        <v>357.5</v>
      </c>
      <c r="U33" s="174" t="s">
        <v>199</v>
      </c>
      <c r="Y33" s="175" t="str">
        <f t="shared" si="2"/>
        <v>WA-Capital City-Couple Only</v>
      </c>
      <c r="Z33" s="175" t="s">
        <v>170</v>
      </c>
      <c r="AA33" s="175" t="s">
        <v>172</v>
      </c>
      <c r="AB33" s="175" t="s">
        <v>221</v>
      </c>
      <c r="AC33" s="175">
        <f>VLOOKUP('Green+Social Interface'!$I$38,'Look-ups'!$A$15:$C$43,2,0)*160</f>
        <v>169.60000000000002</v>
      </c>
      <c r="AD33" s="175">
        <f>VLOOKUP('Green+Social Interface'!$I$38,'Look-ups'!$A$15:$C$43,2,0)*152</f>
        <v>161.12</v>
      </c>
      <c r="AE33" s="175">
        <f>VLOOKUP('Green+Social Interface'!$I$38,'Look-ups'!$A$15:$C$43,2,0)*171</f>
        <v>181.26000000000002</v>
      </c>
      <c r="AF33" s="175">
        <f>VLOOKUP('Green+Social Interface'!$I$38,'Look-ups'!$A$15:$C$43,2,0)*190</f>
        <v>201.4</v>
      </c>
      <c r="AG33" s="175">
        <f>VLOOKUP('Green+Social Interface'!$I$38,'Look-ups'!$A$15:$C$43,2,0)*238</f>
        <v>252.28</v>
      </c>
    </row>
    <row r="34" spans="1:33" ht="15">
      <c r="A34" s="175">
        <v>2041</v>
      </c>
      <c r="B34" s="426">
        <f t="shared" si="3"/>
        <v>1.5149999999999986</v>
      </c>
      <c r="C34" s="428">
        <f t="shared" si="4"/>
        <v>1.5219999999999985</v>
      </c>
      <c r="D34" s="178">
        <v>10</v>
      </c>
      <c r="G34" s="174"/>
      <c r="H34" s="174"/>
      <c r="I34" s="174"/>
      <c r="J34" s="174"/>
      <c r="K34" s="174"/>
      <c r="L34" s="174"/>
      <c r="M34" s="174"/>
      <c r="N34" s="174"/>
      <c r="O34" s="174" t="str">
        <f t="shared" si="1"/>
        <v>WA-Regional City-Flat</v>
      </c>
      <c r="P34" s="174" t="s">
        <v>170</v>
      </c>
      <c r="Q34" s="174" t="s">
        <v>173</v>
      </c>
      <c r="R34" s="174" t="s">
        <v>176</v>
      </c>
      <c r="S34" s="174">
        <f>ROUND(VLOOKUP('Green+Social Interface'!$I$38,'Look-ups'!$A$15:$C$43,3,0)*T34,0)</f>
        <v>341</v>
      </c>
      <c r="T34" s="174">
        <v>320</v>
      </c>
      <c r="U34" s="174"/>
      <c r="Y34" s="175" t="str">
        <f t="shared" si="2"/>
        <v>WA-Regional City-Lone Person</v>
      </c>
      <c r="Z34" s="175" t="s">
        <v>170</v>
      </c>
      <c r="AA34" s="175" t="s">
        <v>173</v>
      </c>
      <c r="AB34" s="175" t="s">
        <v>225</v>
      </c>
      <c r="AC34" s="175">
        <f>VLOOKUP('Green+Social Interface'!$I$38,'Look-ups'!$A$15:$C$43,2,0)*101</f>
        <v>107.06</v>
      </c>
      <c r="AD34" s="175">
        <f>VLOOKUP('Green+Social Interface'!$I$38,'Look-ups'!$A$15:$C$43,2,0)*145</f>
        <v>153.70000000000002</v>
      </c>
      <c r="AE34" s="175">
        <f>VLOOKUP('Green+Social Interface'!$I$38,'Look-ups'!$A$15:$C$43,2,0)*174</f>
        <v>184.44</v>
      </c>
      <c r="AF34" s="175">
        <f>VLOOKUP('Green+Social Interface'!$I$38,'Look-ups'!$A$15:$C$43,2,0)*213</f>
        <v>225.78</v>
      </c>
      <c r="AG34" s="175">
        <f>VLOOKUP('Green+Social Interface'!$I$38,'Look-ups'!$A$15:$C$43,2,0)*202</f>
        <v>214.12</v>
      </c>
    </row>
    <row r="35" spans="1:33" ht="15">
      <c r="A35" s="175">
        <v>2042</v>
      </c>
      <c r="B35" s="426">
        <f t="shared" si="3"/>
        <v>1.5399999999999985</v>
      </c>
      <c r="C35" s="428">
        <f t="shared" si="4"/>
        <v>1.5469999999999984</v>
      </c>
      <c r="G35" s="174"/>
      <c r="H35" s="174"/>
      <c r="I35" s="174"/>
      <c r="J35" s="174"/>
      <c r="K35" s="174"/>
      <c r="L35" s="174"/>
      <c r="M35" s="174"/>
      <c r="N35" s="174"/>
      <c r="O35" s="174"/>
      <c r="P35" s="174"/>
      <c r="Q35" s="174"/>
      <c r="R35" s="174"/>
      <c r="S35" s="174"/>
      <c r="T35" s="174"/>
      <c r="Y35" s="175" t="str">
        <f t="shared" si="2"/>
        <v>WA-Regional City-Couple Only</v>
      </c>
      <c r="Z35" s="175" t="s">
        <v>170</v>
      </c>
      <c r="AA35" s="175" t="s">
        <v>173</v>
      </c>
      <c r="AB35" s="175" t="s">
        <v>221</v>
      </c>
      <c r="AC35" s="175">
        <f>VLOOKUP('Green+Social Interface'!$I$38,'Look-ups'!$A$15:$C$43,2,0)*164</f>
        <v>173.84</v>
      </c>
      <c r="AD35" s="175">
        <f>VLOOKUP('Green+Social Interface'!$I$38,'Look-ups'!$A$15:$C$43,2,0)*155</f>
        <v>164.3</v>
      </c>
      <c r="AE35" s="175">
        <f>VLOOKUP('Green+Social Interface'!$I$38,'Look-ups'!$A$15:$C$43,2,0)*175</f>
        <v>185.5</v>
      </c>
      <c r="AF35" s="175">
        <f>VLOOKUP('Green+Social Interface'!$I$38,'Look-ups'!$A$15:$C$43,2,0)*194</f>
        <v>205.64000000000001</v>
      </c>
      <c r="AG35" s="175">
        <f>VLOOKUP('Green+Social Interface'!$I$38,'Look-ups'!$A$15:$C$43,2,0)*244</f>
        <v>258.64</v>
      </c>
    </row>
    <row r="36" spans="1:20" ht="15">
      <c r="A36" s="175">
        <v>2043</v>
      </c>
      <c r="B36" s="426">
        <f t="shared" si="3"/>
        <v>1.5649999999999984</v>
      </c>
      <c r="C36" s="428">
        <f t="shared" si="4"/>
        <v>1.5719999999999983</v>
      </c>
      <c r="G36" s="174"/>
      <c r="H36" s="174"/>
      <c r="I36" s="174"/>
      <c r="J36" s="174"/>
      <c r="K36" s="174"/>
      <c r="L36" s="174"/>
      <c r="M36" s="174"/>
      <c r="N36" s="174"/>
      <c r="O36" s="472" t="s">
        <v>675</v>
      </c>
      <c r="P36" s="472"/>
      <c r="Q36" s="472"/>
      <c r="R36" s="472"/>
      <c r="S36" s="472"/>
      <c r="T36" s="472"/>
    </row>
    <row r="37" spans="1:20" ht="15">
      <c r="A37" s="175">
        <v>2044</v>
      </c>
      <c r="B37" s="426">
        <f t="shared" si="3"/>
        <v>1.5899999999999983</v>
      </c>
      <c r="C37" s="428">
        <f t="shared" si="4"/>
        <v>1.5969999999999982</v>
      </c>
      <c r="G37" s="174"/>
      <c r="H37" s="174"/>
      <c r="I37" s="174"/>
      <c r="J37" s="174"/>
      <c r="K37" s="174"/>
      <c r="L37" s="174"/>
      <c r="M37" s="174"/>
      <c r="N37" s="174"/>
      <c r="O37" s="472"/>
      <c r="P37" s="472"/>
      <c r="Q37" s="472"/>
      <c r="R37" s="472"/>
      <c r="S37" s="472"/>
      <c r="T37" s="472"/>
    </row>
    <row r="38" spans="1:3" ht="15">
      <c r="A38" s="175">
        <v>2045</v>
      </c>
      <c r="B38" s="426">
        <f t="shared" si="3"/>
        <v>1.6149999999999982</v>
      </c>
      <c r="C38" s="428">
        <f t="shared" si="4"/>
        <v>1.621999999999998</v>
      </c>
    </row>
    <row r="39" spans="1:3" ht="15">
      <c r="A39" s="175">
        <v>2046</v>
      </c>
      <c r="B39" s="426">
        <f t="shared" si="3"/>
        <v>1.6399999999999981</v>
      </c>
      <c r="C39" s="428">
        <f t="shared" si="4"/>
        <v>1.646999999999998</v>
      </c>
    </row>
    <row r="40" spans="1:3" ht="15">
      <c r="A40" s="175">
        <v>2047</v>
      </c>
      <c r="B40" s="426">
        <f t="shared" si="3"/>
        <v>1.664999999999998</v>
      </c>
      <c r="C40" s="428">
        <f t="shared" si="4"/>
        <v>1.671999999999998</v>
      </c>
    </row>
    <row r="41" spans="1:3" ht="15">
      <c r="A41" s="175">
        <v>2048</v>
      </c>
      <c r="B41" s="426">
        <f t="shared" si="3"/>
        <v>1.689999999999998</v>
      </c>
      <c r="C41" s="428">
        <f t="shared" si="4"/>
        <v>1.6969999999999978</v>
      </c>
    </row>
    <row r="42" spans="1:3" ht="15">
      <c r="A42" s="175">
        <v>2049</v>
      </c>
      <c r="B42" s="426">
        <f t="shared" si="3"/>
        <v>1.7149999999999979</v>
      </c>
      <c r="C42" s="428">
        <f t="shared" si="4"/>
        <v>1.7219999999999978</v>
      </c>
    </row>
    <row r="43" spans="1:3" ht="15">
      <c r="A43" s="175">
        <v>2050</v>
      </c>
      <c r="B43" s="426">
        <f t="shared" si="3"/>
        <v>1.7399999999999978</v>
      </c>
      <c r="C43" s="428">
        <f t="shared" si="4"/>
        <v>1.7469999999999977</v>
      </c>
    </row>
    <row r="44" spans="2:3" ht="15">
      <c r="B44" t="s">
        <v>672</v>
      </c>
      <c r="C44" t="s">
        <v>673</v>
      </c>
    </row>
    <row r="46" spans="1:22" s="186" customFormat="1" ht="15">
      <c r="A46" s="187" t="s">
        <v>153</v>
      </c>
      <c r="I46" s="187" t="s">
        <v>153</v>
      </c>
      <c r="O46" s="187" t="s">
        <v>153</v>
      </c>
      <c r="V46" s="187" t="s">
        <v>153</v>
      </c>
    </row>
    <row r="47" spans="1:41" s="10" customFormat="1" ht="15">
      <c r="A47" s="188"/>
      <c r="B47" s="188"/>
      <c r="C47" s="188" t="s">
        <v>235</v>
      </c>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row>
    <row r="48" spans="1:41" ht="15">
      <c r="A48" s="175"/>
      <c r="B48" s="473">
        <v>0.5</v>
      </c>
      <c r="C48" s="473"/>
      <c r="D48" s="473">
        <v>1</v>
      </c>
      <c r="E48" s="473"/>
      <c r="F48" s="473">
        <v>1.5</v>
      </c>
      <c r="G48" s="473"/>
      <c r="H48" s="473">
        <v>2</v>
      </c>
      <c r="I48" s="473"/>
      <c r="J48" s="473">
        <v>2.5</v>
      </c>
      <c r="K48" s="473"/>
      <c r="L48" s="473">
        <v>3</v>
      </c>
      <c r="M48" s="473"/>
      <c r="N48" s="473">
        <v>3.5</v>
      </c>
      <c r="O48" s="473"/>
      <c r="P48" s="473">
        <v>4</v>
      </c>
      <c r="Q48" s="473"/>
      <c r="R48" s="473">
        <v>4.5</v>
      </c>
      <c r="S48" s="473"/>
      <c r="T48" s="473">
        <v>5</v>
      </c>
      <c r="U48" s="473"/>
      <c r="V48" s="473">
        <v>5.5</v>
      </c>
      <c r="W48" s="473"/>
      <c r="X48" s="473">
        <v>6</v>
      </c>
      <c r="Y48" s="473"/>
      <c r="Z48" s="473">
        <v>6.5</v>
      </c>
      <c r="AA48" s="473"/>
      <c r="AB48" s="473">
        <v>7</v>
      </c>
      <c r="AC48" s="473"/>
      <c r="AD48" s="473">
        <v>7.5</v>
      </c>
      <c r="AE48" s="473"/>
      <c r="AF48" s="473">
        <v>8</v>
      </c>
      <c r="AG48" s="473"/>
      <c r="AH48" s="473">
        <v>8.5</v>
      </c>
      <c r="AI48" s="473"/>
      <c r="AJ48" s="473">
        <v>9</v>
      </c>
      <c r="AK48" s="473"/>
      <c r="AL48" s="473">
        <v>9.5</v>
      </c>
      <c r="AM48" s="473"/>
      <c r="AN48" s="473">
        <v>10</v>
      </c>
      <c r="AO48" s="473"/>
    </row>
    <row r="49" spans="1:41" ht="15">
      <c r="A49" s="175" t="s">
        <v>427</v>
      </c>
      <c r="B49" s="175" t="s">
        <v>428</v>
      </c>
      <c r="C49" s="175" t="s">
        <v>429</v>
      </c>
      <c r="D49" s="175" t="s">
        <v>428</v>
      </c>
      <c r="E49" s="175" t="s">
        <v>429</v>
      </c>
      <c r="F49" s="175" t="s">
        <v>428</v>
      </c>
      <c r="G49" s="175" t="s">
        <v>429</v>
      </c>
      <c r="H49" s="175" t="s">
        <v>428</v>
      </c>
      <c r="I49" s="175" t="s">
        <v>429</v>
      </c>
      <c r="J49" s="175" t="s">
        <v>428</v>
      </c>
      <c r="K49" s="175" t="s">
        <v>429</v>
      </c>
      <c r="L49" s="175" t="s">
        <v>428</v>
      </c>
      <c r="M49" s="175" t="s">
        <v>429</v>
      </c>
      <c r="N49" s="175" t="s">
        <v>428</v>
      </c>
      <c r="O49" s="175" t="s">
        <v>429</v>
      </c>
      <c r="P49" s="175" t="s">
        <v>428</v>
      </c>
      <c r="Q49" s="175" t="s">
        <v>429</v>
      </c>
      <c r="R49" s="175" t="s">
        <v>428</v>
      </c>
      <c r="S49" s="175" t="s">
        <v>429</v>
      </c>
      <c r="T49" s="175" t="s">
        <v>428</v>
      </c>
      <c r="U49" s="175" t="s">
        <v>429</v>
      </c>
      <c r="V49" s="175" t="s">
        <v>428</v>
      </c>
      <c r="W49" s="258" t="s">
        <v>429</v>
      </c>
      <c r="X49" s="175" t="s">
        <v>428</v>
      </c>
      <c r="Y49" s="175" t="s">
        <v>429</v>
      </c>
      <c r="Z49" s="175" t="s">
        <v>428</v>
      </c>
      <c r="AA49" s="175" t="s">
        <v>429</v>
      </c>
      <c r="AB49" s="175" t="s">
        <v>428</v>
      </c>
      <c r="AC49" s="175" t="s">
        <v>429</v>
      </c>
      <c r="AD49" s="175" t="s">
        <v>428</v>
      </c>
      <c r="AE49" s="175" t="s">
        <v>429</v>
      </c>
      <c r="AF49" s="175" t="s">
        <v>428</v>
      </c>
      <c r="AG49" s="175" t="s">
        <v>429</v>
      </c>
      <c r="AH49" s="175" t="s">
        <v>428</v>
      </c>
      <c r="AI49" s="175" t="s">
        <v>429</v>
      </c>
      <c r="AJ49" s="175" t="s">
        <v>428</v>
      </c>
      <c r="AK49" s="175" t="s">
        <v>429</v>
      </c>
      <c r="AL49" s="175" t="s">
        <v>428</v>
      </c>
      <c r="AM49" s="175" t="s">
        <v>429</v>
      </c>
      <c r="AN49" s="175" t="s">
        <v>428</v>
      </c>
      <c r="AO49" s="175" t="s">
        <v>429</v>
      </c>
    </row>
    <row r="50" spans="1:41" ht="15">
      <c r="A50" s="175">
        <v>1</v>
      </c>
      <c r="B50" s="175"/>
      <c r="C50" s="175"/>
      <c r="D50" s="175">
        <v>0</v>
      </c>
      <c r="E50" s="175">
        <v>741</v>
      </c>
      <c r="F50" s="175">
        <v>0</v>
      </c>
      <c r="G50" s="175">
        <v>683.5</v>
      </c>
      <c r="H50" s="175">
        <v>0</v>
      </c>
      <c r="I50" s="175">
        <v>626</v>
      </c>
      <c r="J50" s="175">
        <v>0</v>
      </c>
      <c r="K50" s="175">
        <v>580.5</v>
      </c>
      <c r="L50" s="175">
        <v>0</v>
      </c>
      <c r="M50" s="175">
        <v>535</v>
      </c>
      <c r="N50" s="175">
        <v>0</v>
      </c>
      <c r="O50" s="175">
        <v>482.5</v>
      </c>
      <c r="P50" s="175">
        <v>0</v>
      </c>
      <c r="Q50" s="175">
        <v>430</v>
      </c>
      <c r="R50" s="175">
        <v>0</v>
      </c>
      <c r="S50" s="175">
        <v>414.5</v>
      </c>
      <c r="T50" s="175">
        <v>0</v>
      </c>
      <c r="U50" s="175">
        <v>399</v>
      </c>
      <c r="V50" s="175">
        <v>0</v>
      </c>
      <c r="W50" s="258">
        <v>369.5</v>
      </c>
      <c r="X50" s="175">
        <v>0</v>
      </c>
      <c r="Y50" s="175">
        <v>340</v>
      </c>
      <c r="Z50" s="175">
        <v>0</v>
      </c>
      <c r="AA50" s="175">
        <v>319</v>
      </c>
      <c r="AB50" s="175">
        <v>0</v>
      </c>
      <c r="AC50" s="175">
        <v>298</v>
      </c>
      <c r="AD50" s="175">
        <v>0</v>
      </c>
      <c r="AE50" s="175">
        <v>277.5</v>
      </c>
      <c r="AF50" s="175">
        <v>0</v>
      </c>
      <c r="AG50" s="175">
        <v>257</v>
      </c>
      <c r="AH50" s="175">
        <v>0</v>
      </c>
      <c r="AI50" s="175">
        <v>238</v>
      </c>
      <c r="AJ50" s="175">
        <v>0</v>
      </c>
      <c r="AK50" s="175">
        <v>219</v>
      </c>
      <c r="AL50" s="175">
        <v>0</v>
      </c>
      <c r="AM50" s="175">
        <v>204.5</v>
      </c>
      <c r="AN50" s="175">
        <v>0</v>
      </c>
      <c r="AO50" s="175">
        <v>190</v>
      </c>
    </row>
    <row r="51" spans="1:41" ht="15">
      <c r="A51" s="175">
        <v>2</v>
      </c>
      <c r="B51" s="175"/>
      <c r="C51" s="175"/>
      <c r="D51" s="175">
        <v>0.7169279559117778</v>
      </c>
      <c r="E51" s="175">
        <v>578.2830720440883</v>
      </c>
      <c r="F51" s="175">
        <v>0.6581126227411225</v>
      </c>
      <c r="G51" s="175">
        <v>530.8418873772589</v>
      </c>
      <c r="H51" s="175">
        <v>0.5992972895704671</v>
      </c>
      <c r="I51" s="175">
        <v>483.4007027104295</v>
      </c>
      <c r="J51" s="175">
        <v>0.5503876967232906</v>
      </c>
      <c r="K51" s="175">
        <v>443.9496123032767</v>
      </c>
      <c r="L51" s="175">
        <v>0.501478103876114</v>
      </c>
      <c r="M51" s="175">
        <v>404.49852189612386</v>
      </c>
      <c r="N51" s="175">
        <v>0.44204366193524125</v>
      </c>
      <c r="O51" s="175">
        <v>356.55795633806474</v>
      </c>
      <c r="P51" s="175">
        <v>0.3826092199943685</v>
      </c>
      <c r="Q51" s="175">
        <v>308.6173907800056</v>
      </c>
      <c r="R51" s="175">
        <v>0.3652741744282806</v>
      </c>
      <c r="S51" s="175">
        <v>294.6347258255717</v>
      </c>
      <c r="T51" s="175">
        <v>0.3479391288621927</v>
      </c>
      <c r="U51" s="175">
        <v>280.6520608711378</v>
      </c>
      <c r="V51" s="175">
        <v>0.3182219078917563</v>
      </c>
      <c r="W51" s="258">
        <v>256.68177809210823</v>
      </c>
      <c r="X51" s="175">
        <v>0.2885046869213199</v>
      </c>
      <c r="Y51" s="175">
        <v>232.71149531307867</v>
      </c>
      <c r="Z51" s="175">
        <v>0.26621677119349263</v>
      </c>
      <c r="AA51" s="175">
        <v>214.73378322880652</v>
      </c>
      <c r="AB51" s="175">
        <v>0.24392885546566534</v>
      </c>
      <c r="AC51" s="175">
        <v>196.75607114453433</v>
      </c>
      <c r="AD51" s="175">
        <v>0.2228791572782729</v>
      </c>
      <c r="AE51" s="175">
        <v>179.77712084272173</v>
      </c>
      <c r="AF51" s="175">
        <v>0.20182945909088046</v>
      </c>
      <c r="AG51" s="175">
        <v>162.79817054090913</v>
      </c>
      <c r="AH51" s="175">
        <v>0.18201797844392287</v>
      </c>
      <c r="AI51" s="175">
        <v>146.81798202155608</v>
      </c>
      <c r="AJ51" s="175">
        <v>0.16220649779696528</v>
      </c>
      <c r="AK51" s="175">
        <v>130.83779350220303</v>
      </c>
      <c r="AL51" s="175">
        <v>0.14610966977131223</v>
      </c>
      <c r="AM51" s="175">
        <v>117.8538903302287</v>
      </c>
      <c r="AN51" s="175">
        <v>0.1300128417456592</v>
      </c>
      <c r="AO51" s="175">
        <v>104.86998715825435</v>
      </c>
    </row>
    <row r="52" spans="1:41" ht="15">
      <c r="A52" s="175">
        <v>3</v>
      </c>
      <c r="B52" s="175"/>
      <c r="C52" s="175"/>
      <c r="D52" s="175">
        <v>28.89859900855893</v>
      </c>
      <c r="E52" s="175">
        <v>440.1014009914411</v>
      </c>
      <c r="F52" s="175">
        <v>25.47882876340963</v>
      </c>
      <c r="G52" s="175">
        <v>388.02117123659036</v>
      </c>
      <c r="H52" s="175">
        <v>22.059058518260333</v>
      </c>
      <c r="I52" s="175">
        <v>335.9409414817397</v>
      </c>
      <c r="J52" s="175">
        <v>19.193845610162274</v>
      </c>
      <c r="K52" s="175">
        <v>292.30615438983773</v>
      </c>
      <c r="L52" s="175">
        <v>16.328632702064212</v>
      </c>
      <c r="M52" s="175">
        <v>248.67136729793577</v>
      </c>
      <c r="N52" s="175">
        <v>13.432611053018862</v>
      </c>
      <c r="O52" s="175">
        <v>204.56738894698114</v>
      </c>
      <c r="P52" s="175">
        <v>10.536589403973512</v>
      </c>
      <c r="Q52" s="175">
        <v>160.46341059602648</v>
      </c>
      <c r="R52" s="175">
        <v>9.85879710313311</v>
      </c>
      <c r="S52" s="175">
        <v>150.1412028968669</v>
      </c>
      <c r="T52" s="175">
        <v>9.181004802292708</v>
      </c>
      <c r="U52" s="175">
        <v>139.8189951977073</v>
      </c>
      <c r="V52" s="175">
        <v>8.349168796715853</v>
      </c>
      <c r="W52" s="258">
        <v>127.15083120328414</v>
      </c>
      <c r="X52" s="175">
        <v>7.517332791138997</v>
      </c>
      <c r="Y52" s="175">
        <v>114.482667208861</v>
      </c>
      <c r="Z52" s="175">
        <v>6.716305526509431</v>
      </c>
      <c r="AA52" s="175">
        <v>102.28369447349057</v>
      </c>
      <c r="AB52" s="175">
        <v>5.915278261879866</v>
      </c>
      <c r="AC52" s="175">
        <v>90.08472173812014</v>
      </c>
      <c r="AD52" s="175">
        <v>5.145059738197592</v>
      </c>
      <c r="AE52" s="175">
        <v>78.35494026180241</v>
      </c>
      <c r="AF52" s="175">
        <v>4.3748412145153175</v>
      </c>
      <c r="AG52" s="175">
        <v>66.62515878548469</v>
      </c>
      <c r="AH52" s="175">
        <v>3.6662401727276253</v>
      </c>
      <c r="AI52" s="175">
        <v>55.833759827272374</v>
      </c>
      <c r="AJ52" s="175">
        <v>2.957639130939933</v>
      </c>
      <c r="AK52" s="175">
        <v>45.04236086906007</v>
      </c>
      <c r="AL52" s="175">
        <v>2.3722730529414044</v>
      </c>
      <c r="AM52" s="175">
        <v>36.1277269470586</v>
      </c>
      <c r="AN52" s="175">
        <v>1.7869069749428763</v>
      </c>
      <c r="AO52" s="175">
        <v>27.213093025057123</v>
      </c>
    </row>
    <row r="53" spans="1:41" ht="15">
      <c r="A53" s="175">
        <v>4</v>
      </c>
      <c r="B53" s="175"/>
      <c r="C53" s="175"/>
      <c r="D53" s="175">
        <v>6.474945916798949</v>
      </c>
      <c r="E53" s="175">
        <v>182.52505408320104</v>
      </c>
      <c r="F53" s="175">
        <v>5.721248508494309</v>
      </c>
      <c r="G53" s="175">
        <v>161.2787514915057</v>
      </c>
      <c r="H53" s="175">
        <v>4.967551100189669</v>
      </c>
      <c r="I53" s="175">
        <v>140.03244889981033</v>
      </c>
      <c r="J53" s="175">
        <v>4.419407530513568</v>
      </c>
      <c r="K53" s="175">
        <v>124.58059246948643</v>
      </c>
      <c r="L53" s="175">
        <v>3.8712639608374664</v>
      </c>
      <c r="M53" s="175">
        <v>109.12873603916253</v>
      </c>
      <c r="N53" s="175">
        <v>3.2888614180566087</v>
      </c>
      <c r="O53" s="175">
        <v>92.71113858194339</v>
      </c>
      <c r="P53" s="175">
        <v>2.706458875275751</v>
      </c>
      <c r="Q53" s="175">
        <v>76.29354112472424</v>
      </c>
      <c r="R53" s="175">
        <v>2.5522934963043475</v>
      </c>
      <c r="S53" s="175">
        <v>71.94770650369566</v>
      </c>
      <c r="T53" s="175">
        <v>2.398128117332944</v>
      </c>
      <c r="U53" s="175">
        <v>67.60187188266706</v>
      </c>
      <c r="V53" s="175">
        <v>2.1411858190472715</v>
      </c>
      <c r="W53" s="258">
        <v>60.35881418095273</v>
      </c>
      <c r="X53" s="175">
        <v>1.8842435207615988</v>
      </c>
      <c r="Y53" s="175">
        <v>53.1157564792384</v>
      </c>
      <c r="Z53" s="175">
        <v>1.712948655237817</v>
      </c>
      <c r="AA53" s="175">
        <v>48.28705134476218</v>
      </c>
      <c r="AB53" s="175">
        <v>1.5416537897140352</v>
      </c>
      <c r="AC53" s="175">
        <v>43.45834621028597</v>
      </c>
      <c r="AD53" s="175">
        <v>1.3874884107426317</v>
      </c>
      <c r="AE53" s="175">
        <v>39.112511589257366</v>
      </c>
      <c r="AF53" s="175">
        <v>1.2333230317712283</v>
      </c>
      <c r="AG53" s="175">
        <v>34.76667696822877</v>
      </c>
      <c r="AH53" s="175">
        <v>1.113416625904581</v>
      </c>
      <c r="AI53" s="175">
        <v>31.38658337409542</v>
      </c>
      <c r="AJ53" s="175">
        <v>0.9935102200379339</v>
      </c>
      <c r="AK53" s="175">
        <v>28.006489779962067</v>
      </c>
      <c r="AL53" s="175">
        <v>0.8736038141712867</v>
      </c>
      <c r="AM53" s="175">
        <v>24.626396185828714</v>
      </c>
      <c r="AN53" s="175">
        <v>0.7536974083046395</v>
      </c>
      <c r="AO53" s="175">
        <v>21.24630259169536</v>
      </c>
    </row>
    <row r="54" spans="1:41" ht="15">
      <c r="A54" s="175">
        <v>5</v>
      </c>
      <c r="B54" s="175"/>
      <c r="C54" s="175"/>
      <c r="D54" s="175">
        <v>0.2800375053855808</v>
      </c>
      <c r="E54" s="175">
        <v>313.71996249461444</v>
      </c>
      <c r="F54" s="175">
        <v>0.2599711236302446</v>
      </c>
      <c r="G54" s="175">
        <v>291.24002887636976</v>
      </c>
      <c r="H54" s="175">
        <v>0.2399047418749084</v>
      </c>
      <c r="I54" s="175">
        <v>268.7600952581251</v>
      </c>
      <c r="J54" s="175">
        <v>0.22251387768695036</v>
      </c>
      <c r="K54" s="175">
        <v>249.27748612231304</v>
      </c>
      <c r="L54" s="175">
        <v>0.2051230134989923</v>
      </c>
      <c r="M54" s="175">
        <v>229.794876986501</v>
      </c>
      <c r="N54" s="175">
        <v>0.18238111417627795</v>
      </c>
      <c r="O54" s="175">
        <v>204.31761888582372</v>
      </c>
      <c r="P54" s="175">
        <v>0.15963921485356358</v>
      </c>
      <c r="Q54" s="175">
        <v>178.84036078514643</v>
      </c>
      <c r="R54" s="175">
        <v>0.15295042093511818</v>
      </c>
      <c r="S54" s="175">
        <v>171.34704957906487</v>
      </c>
      <c r="T54" s="175">
        <v>0.14626162701667278</v>
      </c>
      <c r="U54" s="175">
        <v>163.85373837298332</v>
      </c>
      <c r="V54" s="175">
        <v>0.13377587836890803</v>
      </c>
      <c r="W54" s="258">
        <v>149.8662241216311</v>
      </c>
      <c r="X54" s="175">
        <v>0.12129012972114328</v>
      </c>
      <c r="Y54" s="175">
        <v>135.87870987027887</v>
      </c>
      <c r="Z54" s="175">
        <v>0.11281765742444577</v>
      </c>
      <c r="AA54" s="175">
        <v>126.38718234257556</v>
      </c>
      <c r="AB54" s="175">
        <v>0.10434518512774826</v>
      </c>
      <c r="AC54" s="175">
        <v>116.89565481487224</v>
      </c>
      <c r="AD54" s="175">
        <v>0.09676455202017681</v>
      </c>
      <c r="AE54" s="175">
        <v>108.40323544797982</v>
      </c>
      <c r="AF54" s="175">
        <v>0.08918391891260535</v>
      </c>
      <c r="AG54" s="175">
        <v>99.91081608108739</v>
      </c>
      <c r="AH54" s="175">
        <v>0.08204920539959693</v>
      </c>
      <c r="AI54" s="175">
        <v>91.9179507946004</v>
      </c>
      <c r="AJ54" s="175">
        <v>0.0749144918865885</v>
      </c>
      <c r="AK54" s="175">
        <v>83.92508550811341</v>
      </c>
      <c r="AL54" s="175">
        <v>0.06867161756270612</v>
      </c>
      <c r="AM54" s="175">
        <v>76.9313283824373</v>
      </c>
      <c r="AN54" s="175">
        <v>0.06242874323882375</v>
      </c>
      <c r="AO54" s="175">
        <v>69.93757125676117</v>
      </c>
    </row>
    <row r="55" spans="1:41" ht="15">
      <c r="A55" s="175">
        <v>6</v>
      </c>
      <c r="B55" s="175"/>
      <c r="C55" s="175"/>
      <c r="D55" s="175">
        <v>133.54519888227236</v>
      </c>
      <c r="E55" s="175">
        <v>398.45480111772764</v>
      </c>
      <c r="F55" s="175">
        <v>114.34180092269747</v>
      </c>
      <c r="G55" s="175">
        <v>341.1581990773025</v>
      </c>
      <c r="H55" s="175">
        <v>95.1384029631226</v>
      </c>
      <c r="I55" s="175">
        <v>283.8615970368774</v>
      </c>
      <c r="J55" s="175">
        <v>80.20242677234214</v>
      </c>
      <c r="K55" s="175">
        <v>239.29757322765786</v>
      </c>
      <c r="L55" s="175">
        <v>65.26645058156168</v>
      </c>
      <c r="M55" s="175">
        <v>194.73354941843832</v>
      </c>
      <c r="N55" s="175">
        <v>51.58559844042664</v>
      </c>
      <c r="O55" s="175">
        <v>153.91440155957338</v>
      </c>
      <c r="P55" s="175">
        <v>37.90474629929159</v>
      </c>
      <c r="Q55" s="175">
        <v>113.09525370070841</v>
      </c>
      <c r="R55" s="175">
        <v>35.268985795036215</v>
      </c>
      <c r="S55" s="175">
        <v>105.23101420496378</v>
      </c>
      <c r="T55" s="175">
        <v>32.63322529078084</v>
      </c>
      <c r="U55" s="175">
        <v>97.36677470921916</v>
      </c>
      <c r="V55" s="175">
        <v>28.99336554680913</v>
      </c>
      <c r="W55" s="258">
        <v>86.50663445319087</v>
      </c>
      <c r="X55" s="175">
        <v>25.35350580283742</v>
      </c>
      <c r="Y55" s="175">
        <v>75.64649419716258</v>
      </c>
      <c r="Z55" s="175">
        <v>22.466720488652964</v>
      </c>
      <c r="AA55" s="175">
        <v>67.03327951134703</v>
      </c>
      <c r="AB55" s="175">
        <v>19.579935174468503</v>
      </c>
      <c r="AC55" s="175">
        <v>58.4200648255315</v>
      </c>
      <c r="AD55" s="175">
        <v>16.693149860284045</v>
      </c>
      <c r="AE55" s="175">
        <v>49.806850139715955</v>
      </c>
      <c r="AF55" s="175">
        <v>13.806364546099585</v>
      </c>
      <c r="AG55" s="175">
        <v>41.19363545390041</v>
      </c>
      <c r="AH55" s="175">
        <v>11.17060404184421</v>
      </c>
      <c r="AI55" s="175">
        <v>33.32939595815579</v>
      </c>
      <c r="AJ55" s="175">
        <v>8.534843537588834</v>
      </c>
      <c r="AK55" s="175">
        <v>25.465156462411166</v>
      </c>
      <c r="AL55" s="175">
        <v>6.275620248227084</v>
      </c>
      <c r="AM55" s="175">
        <v>18.724379751772915</v>
      </c>
      <c r="AN55" s="175">
        <v>4.016396958865334</v>
      </c>
      <c r="AO55" s="175">
        <v>11.983603041134666</v>
      </c>
    </row>
    <row r="56" spans="1:41" ht="15">
      <c r="A56" s="175">
        <v>7</v>
      </c>
      <c r="B56" s="175"/>
      <c r="C56" s="175"/>
      <c r="D56" s="175">
        <v>15.243665000850367</v>
      </c>
      <c r="E56" s="175">
        <v>319.75633499914966</v>
      </c>
      <c r="F56" s="175">
        <v>13.537284590307415</v>
      </c>
      <c r="G56" s="175">
        <v>283.9627154096926</v>
      </c>
      <c r="H56" s="175">
        <v>11.830904179764463</v>
      </c>
      <c r="I56" s="175">
        <v>248.16909582023553</v>
      </c>
      <c r="J56" s="175">
        <v>10.55680680655906</v>
      </c>
      <c r="K56" s="175">
        <v>221.44319319344095</v>
      </c>
      <c r="L56" s="175">
        <v>9.282709433353656</v>
      </c>
      <c r="M56" s="175">
        <v>194.71729056664634</v>
      </c>
      <c r="N56" s="175">
        <v>7.963108582533773</v>
      </c>
      <c r="O56" s="175">
        <v>167.03689141746622</v>
      </c>
      <c r="P56" s="175">
        <v>6.643507731713891</v>
      </c>
      <c r="Q56" s="175">
        <v>139.3564922682861</v>
      </c>
      <c r="R56" s="175">
        <v>6.32498338841254</v>
      </c>
      <c r="S56" s="175">
        <v>132.67501661158747</v>
      </c>
      <c r="T56" s="175">
        <v>6.006459045111189</v>
      </c>
      <c r="U56" s="175">
        <v>125.99354095488881</v>
      </c>
      <c r="V56" s="175">
        <v>5.4604173137374445</v>
      </c>
      <c r="W56" s="258">
        <v>114.53958268626255</v>
      </c>
      <c r="X56" s="175">
        <v>4.9143755823637</v>
      </c>
      <c r="Y56" s="175">
        <v>103.0856244176363</v>
      </c>
      <c r="Z56" s="175">
        <v>4.3910855897971945</v>
      </c>
      <c r="AA56" s="175">
        <v>92.1089144102028</v>
      </c>
      <c r="AB56" s="175">
        <v>3.86779559723069</v>
      </c>
      <c r="AC56" s="175">
        <v>81.1322044027693</v>
      </c>
      <c r="AD56" s="175">
        <v>3.3900090822786635</v>
      </c>
      <c r="AE56" s="175">
        <v>71.10999091772133</v>
      </c>
      <c r="AF56" s="175">
        <v>2.912222567326637</v>
      </c>
      <c r="AG56" s="175">
        <v>61.08777743267336</v>
      </c>
      <c r="AH56" s="175">
        <v>2.4799395299890894</v>
      </c>
      <c r="AI56" s="175">
        <v>52.02006047001091</v>
      </c>
      <c r="AJ56" s="175">
        <v>2.0476564926515417</v>
      </c>
      <c r="AK56" s="175">
        <v>42.95234350734846</v>
      </c>
      <c r="AL56" s="175">
        <v>1.6608769329284727</v>
      </c>
      <c r="AM56" s="175">
        <v>34.839123067071526</v>
      </c>
      <c r="AN56" s="175">
        <v>1.2740973732054037</v>
      </c>
      <c r="AO56" s="175">
        <v>26.725902626794596</v>
      </c>
    </row>
    <row r="57" spans="1:41" ht="15">
      <c r="A57" s="175">
        <v>8</v>
      </c>
      <c r="B57" s="175"/>
      <c r="C57" s="175"/>
      <c r="D57" s="175">
        <v>271.3751469797551</v>
      </c>
      <c r="E57" s="175">
        <v>243.6248530202449</v>
      </c>
      <c r="F57" s="175">
        <v>217.89053063325966</v>
      </c>
      <c r="G57" s="175">
        <v>195.6094693667403</v>
      </c>
      <c r="H57" s="175">
        <v>164.40591428676424</v>
      </c>
      <c r="I57" s="175">
        <v>147.59408571323573</v>
      </c>
      <c r="J57" s="175">
        <v>135.68757348987754</v>
      </c>
      <c r="K57" s="175">
        <v>121.81242651012245</v>
      </c>
      <c r="L57" s="175">
        <v>106.96923269299084</v>
      </c>
      <c r="M57" s="175">
        <v>96.03076730700916</v>
      </c>
      <c r="N57" s="175">
        <v>87.7358484895713</v>
      </c>
      <c r="O57" s="175">
        <v>78.76415151042869</v>
      </c>
      <c r="P57" s="175">
        <v>68.50246428615176</v>
      </c>
      <c r="Q57" s="175">
        <v>61.49753571384822</v>
      </c>
      <c r="R57" s="175">
        <v>65.07734107184417</v>
      </c>
      <c r="S57" s="175">
        <v>58.42265892815581</v>
      </c>
      <c r="T57" s="175">
        <v>61.65221785753659</v>
      </c>
      <c r="U57" s="175">
        <v>55.3477821424634</v>
      </c>
      <c r="V57" s="175">
        <v>55.85585549486221</v>
      </c>
      <c r="W57" s="258">
        <v>50.14414450513778</v>
      </c>
      <c r="X57" s="175">
        <v>50.05949313218783</v>
      </c>
      <c r="Y57" s="175">
        <v>44.94050686781217</v>
      </c>
      <c r="Z57" s="175">
        <v>44.79007280248385</v>
      </c>
      <c r="AA57" s="175">
        <v>40.209927197516144</v>
      </c>
      <c r="AB57" s="175">
        <v>39.520652472779865</v>
      </c>
      <c r="AC57" s="175">
        <v>35.47934752722013</v>
      </c>
      <c r="AD57" s="175">
        <v>34.25123214307588</v>
      </c>
      <c r="AE57" s="175">
        <v>30.74876785692411</v>
      </c>
      <c r="AF57" s="175">
        <v>28.981811813371902</v>
      </c>
      <c r="AG57" s="175">
        <v>26.018188186628095</v>
      </c>
      <c r="AH57" s="175">
        <v>23.71239148366792</v>
      </c>
      <c r="AI57" s="175">
        <v>21.287608516332078</v>
      </c>
      <c r="AJ57" s="175">
        <v>18.44297115396394</v>
      </c>
      <c r="AK57" s="175">
        <v>16.55702884603606</v>
      </c>
      <c r="AL57" s="175">
        <v>14.75437692317115</v>
      </c>
      <c r="AM57" s="175">
        <v>13.24562307682885</v>
      </c>
      <c r="AN57" s="175">
        <v>11.065782692378363</v>
      </c>
      <c r="AO57" s="175">
        <v>9.934217307621637</v>
      </c>
    </row>
    <row r="58" spans="1:41" ht="15">
      <c r="A58" s="175">
        <v>9</v>
      </c>
      <c r="B58" s="175"/>
      <c r="C58" s="175"/>
      <c r="D58" s="175">
        <v>97.75781701759348</v>
      </c>
      <c r="E58" s="175">
        <v>233.24218298240652</v>
      </c>
      <c r="F58" s="175">
        <v>84.61514977504692</v>
      </c>
      <c r="G58" s="175">
        <v>201.88485022495308</v>
      </c>
      <c r="H58" s="175">
        <v>71.47248253250036</v>
      </c>
      <c r="I58" s="175">
        <v>170.52751746749965</v>
      </c>
      <c r="J58" s="175">
        <v>60.98788282215423</v>
      </c>
      <c r="K58" s="175">
        <v>145.51211717784577</v>
      </c>
      <c r="L58" s="175">
        <v>50.50328311180811</v>
      </c>
      <c r="M58" s="175">
        <v>120.49671688819188</v>
      </c>
      <c r="N58" s="175">
        <v>40.314024238373136</v>
      </c>
      <c r="O58" s="175">
        <v>96.18597576162686</v>
      </c>
      <c r="P58" s="175">
        <v>30.12476536493817</v>
      </c>
      <c r="Q58" s="175">
        <v>71.87523463506183</v>
      </c>
      <c r="R58" s="175">
        <v>27.90970908810448</v>
      </c>
      <c r="S58" s="175">
        <v>66.59029091189552</v>
      </c>
      <c r="T58" s="175">
        <v>25.694652811270792</v>
      </c>
      <c r="U58" s="175">
        <v>61.30534718872921</v>
      </c>
      <c r="V58" s="175">
        <v>22.741244442159207</v>
      </c>
      <c r="W58" s="258">
        <v>54.25875555784079</v>
      </c>
      <c r="X58" s="175">
        <v>19.78783607304762</v>
      </c>
      <c r="Y58" s="175">
        <v>47.21216392695238</v>
      </c>
      <c r="Z58" s="175">
        <v>17.720450214669512</v>
      </c>
      <c r="AA58" s="175">
        <v>42.27954978533049</v>
      </c>
      <c r="AB58" s="175">
        <v>15.653064356291402</v>
      </c>
      <c r="AC58" s="175">
        <v>37.3469356437086</v>
      </c>
      <c r="AD58" s="175">
        <v>13.585678497913293</v>
      </c>
      <c r="AE58" s="175">
        <v>32.41432150208671</v>
      </c>
      <c r="AF58" s="175">
        <v>11.518292639535183</v>
      </c>
      <c r="AG58" s="175">
        <v>27.481707360464817</v>
      </c>
      <c r="AH58" s="175">
        <v>9.598577199612652</v>
      </c>
      <c r="AI58" s="175">
        <v>22.901422800387348</v>
      </c>
      <c r="AJ58" s="175">
        <v>7.678861759690122</v>
      </c>
      <c r="AK58" s="175">
        <v>18.321138240309878</v>
      </c>
      <c r="AL58" s="175">
        <v>5.906816738223171</v>
      </c>
      <c r="AM58" s="175">
        <v>14.09318326177683</v>
      </c>
      <c r="AN58" s="175">
        <v>4.1347717167562195</v>
      </c>
      <c r="AO58" s="175">
        <v>9.86522828324378</v>
      </c>
    </row>
    <row r="59" spans="1:41" ht="15">
      <c r="A59" s="175">
        <v>10</v>
      </c>
      <c r="B59" s="175"/>
      <c r="C59" s="175"/>
      <c r="D59" s="175">
        <v>32.235322841505635</v>
      </c>
      <c r="E59" s="175">
        <v>182.76467715849438</v>
      </c>
      <c r="F59" s="175">
        <v>28.561995354915453</v>
      </c>
      <c r="G59" s="175">
        <v>161.93800464508453</v>
      </c>
      <c r="H59" s="175">
        <v>24.888667868325278</v>
      </c>
      <c r="I59" s="175">
        <v>141.11133213167471</v>
      </c>
      <c r="J59" s="175">
        <v>21.51520385002818</v>
      </c>
      <c r="K59" s="175">
        <v>121.98479614997183</v>
      </c>
      <c r="L59" s="175">
        <v>18.141739831731076</v>
      </c>
      <c r="M59" s="175">
        <v>102.85826016826893</v>
      </c>
      <c r="N59" s="175">
        <v>14.693309946360706</v>
      </c>
      <c r="O59" s="175">
        <v>83.3066900536393</v>
      </c>
      <c r="P59" s="175">
        <v>11.244880060990337</v>
      </c>
      <c r="Q59" s="175">
        <v>63.75511993900966</v>
      </c>
      <c r="R59" s="175">
        <v>10.570187257330916</v>
      </c>
      <c r="S59" s="175">
        <v>59.929812742669085</v>
      </c>
      <c r="T59" s="175">
        <v>9.895494453671496</v>
      </c>
      <c r="U59" s="175">
        <v>56.104505546328504</v>
      </c>
      <c r="V59" s="175">
        <v>8.920938181719</v>
      </c>
      <c r="W59" s="258">
        <v>50.579061818281</v>
      </c>
      <c r="X59" s="175">
        <v>7.9463819097665045</v>
      </c>
      <c r="Y59" s="175">
        <v>45.0536180902335</v>
      </c>
      <c r="Z59" s="175">
        <v>7.271689106107084</v>
      </c>
      <c r="AA59" s="175">
        <v>41.22831089389292</v>
      </c>
      <c r="AB59" s="175">
        <v>6.596996302447664</v>
      </c>
      <c r="AC59" s="175">
        <v>37.403003697552336</v>
      </c>
      <c r="AD59" s="175">
        <v>5.922303498788244</v>
      </c>
      <c r="AE59" s="175">
        <v>33.577696501211754</v>
      </c>
      <c r="AF59" s="175">
        <v>5.247610695128824</v>
      </c>
      <c r="AG59" s="175">
        <v>29.752389304871176</v>
      </c>
      <c r="AH59" s="175">
        <v>4.647883758542672</v>
      </c>
      <c r="AI59" s="175">
        <v>26.352116241457328</v>
      </c>
      <c r="AJ59" s="175">
        <v>4.048156821956521</v>
      </c>
      <c r="AK59" s="175">
        <v>22.95184317804348</v>
      </c>
      <c r="AL59" s="175">
        <v>3.523395752443639</v>
      </c>
      <c r="AM59" s="175">
        <v>19.97660424755636</v>
      </c>
      <c r="AN59" s="175">
        <v>2.9986346829307564</v>
      </c>
      <c r="AO59" s="175">
        <v>17.001365317069244</v>
      </c>
    </row>
    <row r="60" spans="1:41" ht="15">
      <c r="A60" s="175">
        <v>11</v>
      </c>
      <c r="B60" s="175"/>
      <c r="C60" s="175"/>
      <c r="D60" s="175">
        <v>64.84370048651162</v>
      </c>
      <c r="E60" s="175">
        <v>159.1562995134884</v>
      </c>
      <c r="F60" s="175">
        <v>52.974987451034046</v>
      </c>
      <c r="G60" s="175">
        <v>130.02501254896595</v>
      </c>
      <c r="H60" s="175">
        <v>41.10627441555647</v>
      </c>
      <c r="I60" s="175">
        <v>100.89372558444353</v>
      </c>
      <c r="J60" s="175">
        <v>34.4482158834593</v>
      </c>
      <c r="K60" s="175">
        <v>84.5517841165407</v>
      </c>
      <c r="L60" s="175">
        <v>27.790157351362122</v>
      </c>
      <c r="M60" s="175">
        <v>68.20984264863787</v>
      </c>
      <c r="N60" s="175">
        <v>22.7242432508534</v>
      </c>
      <c r="O60" s="175">
        <v>55.775756749146595</v>
      </c>
      <c r="P60" s="175">
        <v>17.65832915034468</v>
      </c>
      <c r="Q60" s="175">
        <v>43.341670849655316</v>
      </c>
      <c r="R60" s="175">
        <v>16.50040592737126</v>
      </c>
      <c r="S60" s="175">
        <v>40.49959407262874</v>
      </c>
      <c r="T60" s="175">
        <v>15.342482704397838</v>
      </c>
      <c r="U60" s="175">
        <v>37.65751729560216</v>
      </c>
      <c r="V60" s="175">
        <v>13.895078675681061</v>
      </c>
      <c r="W60" s="258">
        <v>34.10492132431894</v>
      </c>
      <c r="X60" s="175">
        <v>12.447674646964284</v>
      </c>
      <c r="Y60" s="175">
        <v>30.552325353035716</v>
      </c>
      <c r="Z60" s="175">
        <v>11.145011021119185</v>
      </c>
      <c r="AA60" s="175">
        <v>27.354988978880815</v>
      </c>
      <c r="AB60" s="175">
        <v>9.842347395274086</v>
      </c>
      <c r="AC60" s="175">
        <v>24.157652604725914</v>
      </c>
      <c r="AD60" s="175">
        <v>8.394943366557309</v>
      </c>
      <c r="AE60" s="175">
        <v>20.605056633442693</v>
      </c>
      <c r="AF60" s="175">
        <v>6.947539337840531</v>
      </c>
      <c r="AG60" s="175">
        <v>17.05246066215947</v>
      </c>
      <c r="AH60" s="175">
        <v>5.789616114867108</v>
      </c>
      <c r="AI60" s="175">
        <v>14.210383885132892</v>
      </c>
      <c r="AJ60" s="175">
        <v>4.631692891893687</v>
      </c>
      <c r="AK60" s="175">
        <v>11.368307108106313</v>
      </c>
      <c r="AL60" s="175">
        <v>3.618510071791943</v>
      </c>
      <c r="AM60" s="175">
        <v>8.881489928208056</v>
      </c>
      <c r="AN60" s="175">
        <v>2.605327251690199</v>
      </c>
      <c r="AO60" s="175">
        <v>6.394672748309801</v>
      </c>
    </row>
    <row r="61" spans="1:41" ht="15">
      <c r="A61" s="175">
        <v>12</v>
      </c>
      <c r="B61" s="175"/>
      <c r="C61" s="175"/>
      <c r="D61" s="175">
        <v>46.998927927393765</v>
      </c>
      <c r="E61" s="175">
        <v>226.00107207260623</v>
      </c>
      <c r="F61" s="175">
        <v>38.735380159939915</v>
      </c>
      <c r="G61" s="175">
        <v>186.26461984006008</v>
      </c>
      <c r="H61" s="175">
        <v>30.471832392486068</v>
      </c>
      <c r="I61" s="175">
        <v>146.52816760751392</v>
      </c>
      <c r="J61" s="175">
        <v>25.565350905560344</v>
      </c>
      <c r="K61" s="175">
        <v>122.93464909443965</v>
      </c>
      <c r="L61" s="175">
        <v>20.658869418634623</v>
      </c>
      <c r="M61" s="175">
        <v>99.34113058136538</v>
      </c>
      <c r="N61" s="175">
        <v>16.78533140264063</v>
      </c>
      <c r="O61" s="175">
        <v>80.71466859735936</v>
      </c>
      <c r="P61" s="175">
        <v>12.91179338664664</v>
      </c>
      <c r="Q61" s="175">
        <v>62.088206613353364</v>
      </c>
      <c r="R61" s="175">
        <v>12.13708578344784</v>
      </c>
      <c r="S61" s="175">
        <v>58.36291421655216</v>
      </c>
      <c r="T61" s="175">
        <v>11.362378180249042</v>
      </c>
      <c r="U61" s="175">
        <v>54.637621819750954</v>
      </c>
      <c r="V61" s="175">
        <v>10.071198841584378</v>
      </c>
      <c r="W61" s="258">
        <v>48.428801158415624</v>
      </c>
      <c r="X61" s="175">
        <v>8.780019502919714</v>
      </c>
      <c r="Y61" s="175">
        <v>42.219980497080286</v>
      </c>
      <c r="Z61" s="175">
        <v>7.6609974094103395</v>
      </c>
      <c r="AA61" s="175">
        <v>36.83900259058966</v>
      </c>
      <c r="AB61" s="175">
        <v>6.541975315900964</v>
      </c>
      <c r="AC61" s="175">
        <v>31.458024684099037</v>
      </c>
      <c r="AD61" s="175">
        <v>5.336874599813944</v>
      </c>
      <c r="AE61" s="175">
        <v>25.663125400186058</v>
      </c>
      <c r="AF61" s="175">
        <v>4.1317738837269244</v>
      </c>
      <c r="AG61" s="175">
        <v>19.868226116273075</v>
      </c>
      <c r="AH61" s="175">
        <v>3.098830412795193</v>
      </c>
      <c r="AI61" s="175">
        <v>14.901169587204807</v>
      </c>
      <c r="AJ61" s="175">
        <v>2.0658869418634622</v>
      </c>
      <c r="AK61" s="175">
        <v>9.934113058136537</v>
      </c>
      <c r="AL61" s="175">
        <v>1.5494152063975966</v>
      </c>
      <c r="AM61" s="175">
        <v>7.450584793602403</v>
      </c>
      <c r="AN61" s="175">
        <v>1.0329434709317311</v>
      </c>
      <c r="AO61" s="175">
        <v>4.967056529068269</v>
      </c>
    </row>
    <row r="62" spans="1:41" ht="15">
      <c r="A62" s="175">
        <v>13</v>
      </c>
      <c r="B62" s="175"/>
      <c r="C62" s="175"/>
      <c r="D62" s="175">
        <v>157.39733324976493</v>
      </c>
      <c r="E62" s="175">
        <v>254.60266675023507</v>
      </c>
      <c r="F62" s="175">
        <v>136.76758568790254</v>
      </c>
      <c r="G62" s="175">
        <v>221.23241431209746</v>
      </c>
      <c r="H62" s="175">
        <v>116.13783812604015</v>
      </c>
      <c r="I62" s="175">
        <v>187.86216187395985</v>
      </c>
      <c r="J62" s="175">
        <v>97.0362200132046</v>
      </c>
      <c r="K62" s="175">
        <v>156.9637799867954</v>
      </c>
      <c r="L62" s="175">
        <v>77.93460190036905</v>
      </c>
      <c r="M62" s="175">
        <v>126.06539809963095</v>
      </c>
      <c r="N62" s="175">
        <v>60.5521294176887</v>
      </c>
      <c r="O62" s="175">
        <v>97.94787058231131</v>
      </c>
      <c r="P62" s="175">
        <v>43.16965693500834</v>
      </c>
      <c r="Q62" s="175">
        <v>69.83034306499165</v>
      </c>
      <c r="R62" s="175">
        <v>40.113398036954656</v>
      </c>
      <c r="S62" s="175">
        <v>64.88660196304535</v>
      </c>
      <c r="T62" s="175">
        <v>37.057139138900965</v>
      </c>
      <c r="U62" s="175">
        <v>59.942860861099035</v>
      </c>
      <c r="V62" s="175">
        <v>33.61884787859057</v>
      </c>
      <c r="W62" s="258">
        <v>54.38115212140943</v>
      </c>
      <c r="X62" s="175">
        <v>30.180556618280168</v>
      </c>
      <c r="Y62" s="175">
        <v>48.81944338171983</v>
      </c>
      <c r="Z62" s="175">
        <v>26.74226535796977</v>
      </c>
      <c r="AA62" s="175">
        <v>43.25773464203023</v>
      </c>
      <c r="AB62" s="175">
        <v>23.30397409765937</v>
      </c>
      <c r="AC62" s="175">
        <v>37.69602590234063</v>
      </c>
      <c r="AD62" s="175">
        <v>19.86568283734897</v>
      </c>
      <c r="AE62" s="175">
        <v>32.13431716265103</v>
      </c>
      <c r="AF62" s="175">
        <v>16.427391577038573</v>
      </c>
      <c r="AG62" s="175">
        <v>26.572608422961427</v>
      </c>
      <c r="AH62" s="175">
        <v>13.18011649785653</v>
      </c>
      <c r="AI62" s="175">
        <v>21.31988350214347</v>
      </c>
      <c r="AJ62" s="175">
        <v>9.932841418674485</v>
      </c>
      <c r="AK62" s="175">
        <v>16.067158581325515</v>
      </c>
      <c r="AL62" s="175">
        <v>7.449631064005865</v>
      </c>
      <c r="AM62" s="175">
        <v>12.050368935994136</v>
      </c>
      <c r="AN62" s="175">
        <v>4.966420709337243</v>
      </c>
      <c r="AO62" s="175">
        <v>8.033579290662757</v>
      </c>
    </row>
    <row r="63" spans="1:41" ht="15">
      <c r="A63" s="175">
        <v>14</v>
      </c>
      <c r="B63" s="175"/>
      <c r="C63" s="175"/>
      <c r="D63" s="175">
        <v>729.4933947508264</v>
      </c>
      <c r="E63" s="175">
        <v>61.5066052491736</v>
      </c>
      <c r="F63" s="175">
        <v>622.5133267469125</v>
      </c>
      <c r="G63" s="175">
        <v>52.48667325308747</v>
      </c>
      <c r="H63" s="175">
        <v>515.5332587429987</v>
      </c>
      <c r="I63" s="175">
        <v>43.466741257001324</v>
      </c>
      <c r="J63" s="175">
        <v>441.75390149892013</v>
      </c>
      <c r="K63" s="175">
        <v>37.24609850107984</v>
      </c>
      <c r="L63" s="175">
        <v>367.9745442548416</v>
      </c>
      <c r="M63" s="175">
        <v>31.025455745158368</v>
      </c>
      <c r="N63" s="175">
        <v>297.4230338901915</v>
      </c>
      <c r="O63" s="175">
        <v>25.076966109808456</v>
      </c>
      <c r="P63" s="175">
        <v>226.87152352554145</v>
      </c>
      <c r="Q63" s="175">
        <v>19.12847647445854</v>
      </c>
      <c r="R63" s="175">
        <v>210.73228912839926</v>
      </c>
      <c r="S63" s="175">
        <v>17.76771087160072</v>
      </c>
      <c r="T63" s="175">
        <v>194.5930547312571</v>
      </c>
      <c r="U63" s="175">
        <v>16.406945268742895</v>
      </c>
      <c r="V63" s="175">
        <v>170.1536426441561</v>
      </c>
      <c r="W63" s="258">
        <v>14.346357355843907</v>
      </c>
      <c r="X63" s="175">
        <v>145.71423055705506</v>
      </c>
      <c r="Y63" s="175">
        <v>12.285769442944918</v>
      </c>
      <c r="Z63" s="175">
        <v>128.19163321158643</v>
      </c>
      <c r="AA63" s="175">
        <v>10.808366788413567</v>
      </c>
      <c r="AB63" s="175">
        <v>110.66903586611778</v>
      </c>
      <c r="AC63" s="175">
        <v>9.330964133882215</v>
      </c>
      <c r="AD63" s="175">
        <v>94.06868048620011</v>
      </c>
      <c r="AE63" s="175">
        <v>7.931319513799884</v>
      </c>
      <c r="AF63" s="175">
        <v>77.46832510628245</v>
      </c>
      <c r="AG63" s="175">
        <v>6.531674893717551</v>
      </c>
      <c r="AH63" s="175">
        <v>60.86796972636478</v>
      </c>
      <c r="AI63" s="175">
        <v>5.132030273635219</v>
      </c>
      <c r="AJ63" s="175">
        <v>44.26761434644711</v>
      </c>
      <c r="AK63" s="175">
        <v>3.7323856535528863</v>
      </c>
      <c r="AL63" s="175">
        <v>31.35622682873337</v>
      </c>
      <c r="AM63" s="175">
        <v>2.643773171266628</v>
      </c>
      <c r="AN63" s="175">
        <v>18.444839311019628</v>
      </c>
      <c r="AO63" s="175">
        <v>1.5551606889803693</v>
      </c>
    </row>
    <row r="64" spans="1:41" ht="15">
      <c r="A64" s="175">
        <v>15</v>
      </c>
      <c r="B64" s="175"/>
      <c r="C64" s="175"/>
      <c r="D64" s="175">
        <v>178.24959948300005</v>
      </c>
      <c r="E64" s="175">
        <v>170.75040051699995</v>
      </c>
      <c r="F64" s="175">
        <v>139.1776958713969</v>
      </c>
      <c r="G64" s="175">
        <v>133.32230412860312</v>
      </c>
      <c r="H64" s="175">
        <v>100.10579225979373</v>
      </c>
      <c r="I64" s="175">
        <v>95.89420774020628</v>
      </c>
      <c r="J64" s="175">
        <v>83.76198944186822</v>
      </c>
      <c r="K64" s="175">
        <v>80.23801055813179</v>
      </c>
      <c r="L64" s="175">
        <v>67.41818662394272</v>
      </c>
      <c r="M64" s="175">
        <v>64.5818133760573</v>
      </c>
      <c r="N64" s="175">
        <v>57.71405370079945</v>
      </c>
      <c r="O64" s="175">
        <v>55.28594629920056</v>
      </c>
      <c r="P64" s="175">
        <v>48.00992077765618</v>
      </c>
      <c r="Q64" s="175">
        <v>45.99007922234383</v>
      </c>
      <c r="R64" s="175">
        <v>45.711573506385406</v>
      </c>
      <c r="S64" s="175">
        <v>43.7884264936146</v>
      </c>
      <c r="T64" s="175">
        <v>43.41322623511463</v>
      </c>
      <c r="U64" s="175">
        <v>41.58677376488538</v>
      </c>
      <c r="V64" s="175">
        <v>38.561159773543</v>
      </c>
      <c r="W64" s="258">
        <v>36.93884022645701</v>
      </c>
      <c r="X64" s="175">
        <v>33.70909331197136</v>
      </c>
      <c r="Y64" s="175">
        <v>32.29090668802865</v>
      </c>
      <c r="Z64" s="175">
        <v>29.878514526520068</v>
      </c>
      <c r="AA64" s="175">
        <v>28.621485473479936</v>
      </c>
      <c r="AB64" s="175">
        <v>26.047935741068777</v>
      </c>
      <c r="AC64" s="175">
        <v>24.952064258931227</v>
      </c>
      <c r="AD64" s="175">
        <v>22.472728874647572</v>
      </c>
      <c r="AE64" s="175">
        <v>21.52727112535243</v>
      </c>
      <c r="AF64" s="175">
        <v>18.897522008226368</v>
      </c>
      <c r="AG64" s="175">
        <v>18.102477991773636</v>
      </c>
      <c r="AH64" s="175">
        <v>15.577687060835249</v>
      </c>
      <c r="AI64" s="175">
        <v>14.922312939164753</v>
      </c>
      <c r="AJ64" s="175">
        <v>12.25785211344413</v>
      </c>
      <c r="AK64" s="175">
        <v>11.742147886555871</v>
      </c>
      <c r="AL64" s="175">
        <v>9.448761004113184</v>
      </c>
      <c r="AM64" s="175">
        <v>9.051238995886818</v>
      </c>
      <c r="AN64" s="175">
        <v>6.639669894782237</v>
      </c>
      <c r="AO64" s="175">
        <v>6.360330105217764</v>
      </c>
    </row>
    <row r="65" spans="1:41" ht="15">
      <c r="A65" s="175">
        <v>16</v>
      </c>
      <c r="B65" s="175"/>
      <c r="C65" s="175"/>
      <c r="D65" s="175">
        <v>219.63573701527838</v>
      </c>
      <c r="E65" s="175">
        <v>230.36426298472162</v>
      </c>
      <c r="F65" s="175">
        <v>187.66653529416564</v>
      </c>
      <c r="G65" s="175">
        <v>196.83346470583436</v>
      </c>
      <c r="H65" s="175">
        <v>155.6973335730529</v>
      </c>
      <c r="I65" s="175">
        <v>163.3026664269471</v>
      </c>
      <c r="J65" s="175">
        <v>131.29336279357753</v>
      </c>
      <c r="K65" s="175">
        <v>137.70663720642247</v>
      </c>
      <c r="L65" s="175">
        <v>106.88939201410214</v>
      </c>
      <c r="M65" s="175">
        <v>112.11060798589786</v>
      </c>
      <c r="N65" s="175">
        <v>84.68177860477955</v>
      </c>
      <c r="O65" s="175">
        <v>88.81822139522045</v>
      </c>
      <c r="P65" s="175">
        <v>62.47416519545696</v>
      </c>
      <c r="Q65" s="175">
        <v>65.52583480454304</v>
      </c>
      <c r="R65" s="175">
        <v>58.0814504551514</v>
      </c>
      <c r="S65" s="175">
        <v>60.9185495448486</v>
      </c>
      <c r="T65" s="175">
        <v>53.688735714845826</v>
      </c>
      <c r="U65" s="175">
        <v>56.311264285154174</v>
      </c>
      <c r="V65" s="175">
        <v>47.34370331218223</v>
      </c>
      <c r="W65" s="258">
        <v>49.65629668781777</v>
      </c>
      <c r="X65" s="175">
        <v>40.99867090951863</v>
      </c>
      <c r="Y65" s="175">
        <v>43.00132909048137</v>
      </c>
      <c r="Z65" s="175">
        <v>36.117876753623555</v>
      </c>
      <c r="AA65" s="175">
        <v>37.882123246376445</v>
      </c>
      <c r="AB65" s="175">
        <v>31.23708259772848</v>
      </c>
      <c r="AC65" s="175">
        <v>32.76291740227152</v>
      </c>
      <c r="AD65" s="175">
        <v>26.844367857422913</v>
      </c>
      <c r="AE65" s="175">
        <v>28.155632142577087</v>
      </c>
      <c r="AF65" s="175">
        <v>22.451653117117345</v>
      </c>
      <c r="AG65" s="175">
        <v>23.548346882882655</v>
      </c>
      <c r="AH65" s="175">
        <v>17.814898669017023</v>
      </c>
      <c r="AI65" s="175">
        <v>18.685101330982977</v>
      </c>
      <c r="AJ65" s="175">
        <v>13.178144220916703</v>
      </c>
      <c r="AK65" s="175">
        <v>13.821855779083297</v>
      </c>
      <c r="AL65" s="175">
        <v>9.76158831179015</v>
      </c>
      <c r="AM65" s="175">
        <v>10.23841168820985</v>
      </c>
      <c r="AN65" s="175">
        <v>6.345032402663597</v>
      </c>
      <c r="AO65" s="175">
        <v>6.654967597336403</v>
      </c>
    </row>
    <row r="66" spans="1:41" ht="15">
      <c r="A66" s="175">
        <v>17</v>
      </c>
      <c r="B66" s="175"/>
      <c r="C66" s="175"/>
      <c r="D66" s="175">
        <v>122.75898347227943</v>
      </c>
      <c r="E66" s="175">
        <v>128.24101652772057</v>
      </c>
      <c r="F66" s="175">
        <v>94.63690558520346</v>
      </c>
      <c r="G66" s="175">
        <v>98.86309441479654</v>
      </c>
      <c r="H66" s="175">
        <v>66.5148276981275</v>
      </c>
      <c r="I66" s="175">
        <v>69.4851723018725</v>
      </c>
      <c r="J66" s="175">
        <v>53.798757697014885</v>
      </c>
      <c r="K66" s="175">
        <v>56.201242302985115</v>
      </c>
      <c r="L66" s="175">
        <v>41.08268769590228</v>
      </c>
      <c r="M66" s="175">
        <v>42.91731230409772</v>
      </c>
      <c r="N66" s="175">
        <v>33.99103327220486</v>
      </c>
      <c r="O66" s="175">
        <v>35.50896672779514</v>
      </c>
      <c r="P66" s="175">
        <v>26.899378848507443</v>
      </c>
      <c r="Q66" s="175">
        <v>28.100621151492557</v>
      </c>
      <c r="R66" s="175">
        <v>25.676679809938925</v>
      </c>
      <c r="S66" s="175">
        <v>26.823320190061075</v>
      </c>
      <c r="T66" s="175">
        <v>24.453980771370404</v>
      </c>
      <c r="U66" s="175">
        <v>25.546019228629596</v>
      </c>
      <c r="V66" s="175">
        <v>21.76404288651966</v>
      </c>
      <c r="W66" s="258">
        <v>22.73595711348034</v>
      </c>
      <c r="X66" s="175">
        <v>19.074105001668915</v>
      </c>
      <c r="Y66" s="175">
        <v>19.925894998331085</v>
      </c>
      <c r="Z66" s="175">
        <v>16.87324673224558</v>
      </c>
      <c r="AA66" s="175">
        <v>17.62675326775442</v>
      </c>
      <c r="AB66" s="175">
        <v>14.672388462822243</v>
      </c>
      <c r="AC66" s="175">
        <v>15.327611537177757</v>
      </c>
      <c r="AD66" s="175">
        <v>12.71607000111261</v>
      </c>
      <c r="AE66" s="175">
        <v>13.28392999888739</v>
      </c>
      <c r="AF66" s="175">
        <v>10.759751539402977</v>
      </c>
      <c r="AG66" s="175">
        <v>11.240248460597023</v>
      </c>
      <c r="AH66" s="175">
        <v>8.803433077693345</v>
      </c>
      <c r="AI66" s="175">
        <v>9.196566922306655</v>
      </c>
      <c r="AJ66" s="175">
        <v>6.847114615983713</v>
      </c>
      <c r="AK66" s="175">
        <v>7.152885384016287</v>
      </c>
      <c r="AL66" s="175">
        <v>5.135335961987785</v>
      </c>
      <c r="AM66" s="175">
        <v>5.364664038012215</v>
      </c>
      <c r="AN66" s="175">
        <v>3.4235573079918566</v>
      </c>
      <c r="AO66" s="175">
        <v>3.5764426920081434</v>
      </c>
    </row>
    <row r="67" spans="1:41" ht="15">
      <c r="A67" s="175">
        <v>18</v>
      </c>
      <c r="B67" s="175"/>
      <c r="C67" s="175"/>
      <c r="D67" s="175">
        <v>261.30105674416967</v>
      </c>
      <c r="E67" s="175">
        <v>162.69894325583033</v>
      </c>
      <c r="F67" s="175">
        <v>218.16173133829258</v>
      </c>
      <c r="G67" s="175">
        <v>135.8382686617074</v>
      </c>
      <c r="H67" s="175">
        <v>175.02240593241552</v>
      </c>
      <c r="I67" s="175">
        <v>108.97759406758446</v>
      </c>
      <c r="J67" s="175">
        <v>147.59812049582223</v>
      </c>
      <c r="K67" s="175">
        <v>91.90187950417774</v>
      </c>
      <c r="L67" s="175">
        <v>120.17383505922896</v>
      </c>
      <c r="M67" s="175">
        <v>74.82616494077102</v>
      </c>
      <c r="N67" s="175">
        <v>97.0634821632234</v>
      </c>
      <c r="O67" s="175">
        <v>60.436517836776595</v>
      </c>
      <c r="P67" s="175">
        <v>73.95312926721783</v>
      </c>
      <c r="Q67" s="175">
        <v>46.04687073278217</v>
      </c>
      <c r="R67" s="175">
        <v>69.33105868801671</v>
      </c>
      <c r="S67" s="175">
        <v>43.16894131198328</v>
      </c>
      <c r="T67" s="175">
        <v>64.7089881088156</v>
      </c>
      <c r="U67" s="175">
        <v>40.2910118911844</v>
      </c>
      <c r="V67" s="175">
        <v>57.31367518209382</v>
      </c>
      <c r="W67" s="258">
        <v>35.68632481790618</v>
      </c>
      <c r="X67" s="175">
        <v>49.91836225537203</v>
      </c>
      <c r="Y67" s="175">
        <v>31.08163774462796</v>
      </c>
      <c r="Z67" s="175">
        <v>43.75560148310388</v>
      </c>
      <c r="AA67" s="175">
        <v>27.244398516896116</v>
      </c>
      <c r="AB67" s="175">
        <v>37.59284071083573</v>
      </c>
      <c r="AC67" s="175">
        <v>23.40715928916427</v>
      </c>
      <c r="AD67" s="175">
        <v>31.738217977180984</v>
      </c>
      <c r="AE67" s="175">
        <v>19.761782022819013</v>
      </c>
      <c r="AF67" s="175">
        <v>25.883595243526237</v>
      </c>
      <c r="AG67" s="175">
        <v>16.11640475647376</v>
      </c>
      <c r="AH67" s="175">
        <v>20.3371105484849</v>
      </c>
      <c r="AI67" s="175">
        <v>12.662889451515095</v>
      </c>
      <c r="AJ67" s="175">
        <v>14.790625853443565</v>
      </c>
      <c r="AK67" s="175">
        <v>9.209374146556433</v>
      </c>
      <c r="AL67" s="175">
        <v>10.476693312855858</v>
      </c>
      <c r="AM67" s="175">
        <v>6.5233066871441405</v>
      </c>
      <c r="AN67" s="175">
        <v>6.162760772268152</v>
      </c>
      <c r="AO67" s="175">
        <v>3.8372392277318474</v>
      </c>
    </row>
    <row r="68" spans="1:41" ht="15">
      <c r="A68" s="175">
        <v>19</v>
      </c>
      <c r="B68" s="175"/>
      <c r="C68" s="175"/>
      <c r="D68" s="175">
        <v>144.3717788602027</v>
      </c>
      <c r="E68" s="175">
        <v>298.6282211397973</v>
      </c>
      <c r="F68" s="175">
        <v>121.88497808965195</v>
      </c>
      <c r="G68" s="175">
        <v>252.11502191034805</v>
      </c>
      <c r="H68" s="175">
        <v>99.3981773191012</v>
      </c>
      <c r="I68" s="175">
        <v>205.6018226808988</v>
      </c>
      <c r="J68" s="175">
        <v>84.40697680540067</v>
      </c>
      <c r="K68" s="175">
        <v>174.5930231945993</v>
      </c>
      <c r="L68" s="175">
        <v>69.41577629170017</v>
      </c>
      <c r="M68" s="175">
        <v>143.58422370829982</v>
      </c>
      <c r="N68" s="175">
        <v>56.37994975804756</v>
      </c>
      <c r="O68" s="175">
        <v>116.62005024195244</v>
      </c>
      <c r="P68" s="175">
        <v>43.34412322439494</v>
      </c>
      <c r="Q68" s="175">
        <v>89.65587677560505</v>
      </c>
      <c r="R68" s="175">
        <v>40.57401008599376</v>
      </c>
      <c r="S68" s="175">
        <v>83.92598991400624</v>
      </c>
      <c r="T68" s="175">
        <v>37.803896947592584</v>
      </c>
      <c r="U68" s="175">
        <v>78.19610305240742</v>
      </c>
      <c r="V68" s="175">
        <v>33.40430549248482</v>
      </c>
      <c r="W68" s="258">
        <v>69.09569450751518</v>
      </c>
      <c r="X68" s="175">
        <v>29.004714037377067</v>
      </c>
      <c r="Y68" s="175">
        <v>59.99528596262293</v>
      </c>
      <c r="Z68" s="175">
        <v>25.745757403963914</v>
      </c>
      <c r="AA68" s="175">
        <v>53.254242596036086</v>
      </c>
      <c r="AB68" s="175">
        <v>22.48680077055076</v>
      </c>
      <c r="AC68" s="175">
        <v>46.51319922944924</v>
      </c>
      <c r="AD68" s="175">
        <v>19.390791968808266</v>
      </c>
      <c r="AE68" s="175">
        <v>40.109208031191734</v>
      </c>
      <c r="AF68" s="175">
        <v>16.29478316706577</v>
      </c>
      <c r="AG68" s="175">
        <v>33.705216832934234</v>
      </c>
      <c r="AH68" s="175">
        <v>13.198774365323272</v>
      </c>
      <c r="AI68" s="175">
        <v>27.301225634676726</v>
      </c>
      <c r="AJ68" s="175">
        <v>10.102765563580776</v>
      </c>
      <c r="AK68" s="175">
        <v>20.897234436419225</v>
      </c>
      <c r="AL68" s="175">
        <v>7.658548088520911</v>
      </c>
      <c r="AM68" s="175">
        <v>15.841451911479089</v>
      </c>
      <c r="AN68" s="175">
        <v>5.214330613461046</v>
      </c>
      <c r="AO68" s="175">
        <v>10.785669386538954</v>
      </c>
    </row>
    <row r="69" spans="1:41" ht="15">
      <c r="A69" s="175">
        <v>20</v>
      </c>
      <c r="B69" s="175"/>
      <c r="C69" s="175"/>
      <c r="D69" s="175">
        <v>469.96362703814077</v>
      </c>
      <c r="E69" s="175">
        <v>202.03637296185917</v>
      </c>
      <c r="F69" s="175">
        <v>398.97953753758827</v>
      </c>
      <c r="G69" s="175">
        <v>171.5204624624117</v>
      </c>
      <c r="H69" s="175">
        <v>327.99544803703577</v>
      </c>
      <c r="I69" s="175">
        <v>141.0045519629642</v>
      </c>
      <c r="J69" s="175">
        <v>279.7402541893695</v>
      </c>
      <c r="K69" s="175">
        <v>120.25974581063046</v>
      </c>
      <c r="L69" s="175">
        <v>231.48506034170327</v>
      </c>
      <c r="M69" s="175">
        <v>99.51493965829671</v>
      </c>
      <c r="N69" s="175">
        <v>186.37694435366745</v>
      </c>
      <c r="O69" s="175">
        <v>80.12305564633255</v>
      </c>
      <c r="P69" s="175">
        <v>141.2688283656316</v>
      </c>
      <c r="Q69" s="175">
        <v>60.73117163436838</v>
      </c>
      <c r="R69" s="175">
        <v>130.77856883353024</v>
      </c>
      <c r="S69" s="175">
        <v>56.22143116646974</v>
      </c>
      <c r="T69" s="175">
        <v>120.2883093014289</v>
      </c>
      <c r="U69" s="175">
        <v>51.7116906985711</v>
      </c>
      <c r="V69" s="175">
        <v>104.55292000327685</v>
      </c>
      <c r="W69" s="258">
        <v>44.94707999672313</v>
      </c>
      <c r="X69" s="175">
        <v>88.81753070512482</v>
      </c>
      <c r="Y69" s="175">
        <v>38.18246929487517</v>
      </c>
      <c r="Z69" s="175">
        <v>77.97759585528675</v>
      </c>
      <c r="AA69" s="175">
        <v>33.52240414471324</v>
      </c>
      <c r="AB69" s="175">
        <v>67.13766100544868</v>
      </c>
      <c r="AC69" s="175">
        <v>28.86233899455131</v>
      </c>
      <c r="AD69" s="175">
        <v>56.29772615561062</v>
      </c>
      <c r="AE69" s="175">
        <v>24.20227384438938</v>
      </c>
      <c r="AF69" s="175">
        <v>45.457791305772545</v>
      </c>
      <c r="AG69" s="175">
        <v>19.54220869422745</v>
      </c>
      <c r="AH69" s="175">
        <v>35.66688240914461</v>
      </c>
      <c r="AI69" s="175">
        <v>15.333117590855384</v>
      </c>
      <c r="AJ69" s="175">
        <v>25.87597351251668</v>
      </c>
      <c r="AK69" s="175">
        <v>11.124026487483317</v>
      </c>
      <c r="AL69" s="175">
        <v>17.833441204572306</v>
      </c>
      <c r="AM69" s="175">
        <v>7.666558795427692</v>
      </c>
      <c r="AN69" s="175">
        <v>9.790908896627933</v>
      </c>
      <c r="AO69" s="175">
        <v>4.209091103372066</v>
      </c>
    </row>
    <row r="70" spans="1:41" ht="15">
      <c r="A70" s="175">
        <v>21</v>
      </c>
      <c r="B70" s="175"/>
      <c r="C70" s="175"/>
      <c r="D70" s="175">
        <v>283.42688459810046</v>
      </c>
      <c r="E70" s="175">
        <v>146.57311540189954</v>
      </c>
      <c r="F70" s="175">
        <v>237.28762431468874</v>
      </c>
      <c r="G70" s="175">
        <v>122.71237568531126</v>
      </c>
      <c r="H70" s="175">
        <v>191.14836403127705</v>
      </c>
      <c r="I70" s="175">
        <v>98.85163596872296</v>
      </c>
      <c r="J70" s="175">
        <v>161.15784484705944</v>
      </c>
      <c r="K70" s="175">
        <v>83.34215515294056</v>
      </c>
      <c r="L70" s="175">
        <v>131.16732566284185</v>
      </c>
      <c r="M70" s="175">
        <v>67.83267433715817</v>
      </c>
      <c r="N70" s="175">
        <v>106.12029865184691</v>
      </c>
      <c r="O70" s="175">
        <v>54.87970134815309</v>
      </c>
      <c r="P70" s="175">
        <v>81.07327164085198</v>
      </c>
      <c r="Q70" s="175">
        <v>41.926728359148015</v>
      </c>
      <c r="R70" s="175">
        <v>75.8002133227478</v>
      </c>
      <c r="S70" s="175">
        <v>39.199786677252206</v>
      </c>
      <c r="T70" s="175">
        <v>70.5271550046436</v>
      </c>
      <c r="U70" s="175">
        <v>36.472844995356404</v>
      </c>
      <c r="V70" s="175">
        <v>61.95843523772428</v>
      </c>
      <c r="W70" s="258">
        <v>32.04156476227572</v>
      </c>
      <c r="X70" s="175">
        <v>53.389715470804965</v>
      </c>
      <c r="Y70" s="175">
        <v>27.61028452919503</v>
      </c>
      <c r="Z70" s="175">
        <v>47.127958718056234</v>
      </c>
      <c r="AA70" s="175">
        <v>24.372041281943762</v>
      </c>
      <c r="AB70" s="175">
        <v>40.8662019653075</v>
      </c>
      <c r="AC70" s="175">
        <v>21.133798034692493</v>
      </c>
      <c r="AD70" s="175">
        <v>34.93401135744029</v>
      </c>
      <c r="AE70" s="175">
        <v>18.065988642559713</v>
      </c>
      <c r="AF70" s="175">
        <v>29.00182074957307</v>
      </c>
      <c r="AG70" s="175">
        <v>14.998179250426931</v>
      </c>
      <c r="AH70" s="175">
        <v>22.74006399682434</v>
      </c>
      <c r="AI70" s="175">
        <v>11.759936003175662</v>
      </c>
      <c r="AJ70" s="175">
        <v>16.47830724407561</v>
      </c>
      <c r="AK70" s="175">
        <v>8.521692755924393</v>
      </c>
      <c r="AL70" s="175">
        <v>11.864381215734436</v>
      </c>
      <c r="AM70" s="175">
        <v>6.135618784265563</v>
      </c>
      <c r="AN70" s="175">
        <v>7.250455187393268</v>
      </c>
      <c r="AO70" s="175">
        <v>3.749544812606733</v>
      </c>
    </row>
    <row r="71" spans="1:41" ht="15">
      <c r="A71" s="175">
        <v>22</v>
      </c>
      <c r="B71" s="175"/>
      <c r="C71" s="175"/>
      <c r="D71" s="175">
        <v>586.1488446037489</v>
      </c>
      <c r="E71" s="175">
        <v>68.85115539625107</v>
      </c>
      <c r="F71" s="175">
        <v>490.3962852562663</v>
      </c>
      <c r="G71" s="175">
        <v>57.603714743733725</v>
      </c>
      <c r="H71" s="175">
        <v>394.64372590878367</v>
      </c>
      <c r="I71" s="175">
        <v>46.35627409121638</v>
      </c>
      <c r="J71" s="175">
        <v>336.02884144840874</v>
      </c>
      <c r="K71" s="175">
        <v>39.471158551591266</v>
      </c>
      <c r="L71" s="175">
        <v>277.4139569880339</v>
      </c>
      <c r="M71" s="175">
        <v>32.58604301196616</v>
      </c>
      <c r="N71" s="175">
        <v>227.30046798374386</v>
      </c>
      <c r="O71" s="175">
        <v>26.699532016256143</v>
      </c>
      <c r="P71" s="175">
        <v>177.18697897945387</v>
      </c>
      <c r="Q71" s="175">
        <v>20.813021020546127</v>
      </c>
      <c r="R71" s="175">
        <v>165.55349046060084</v>
      </c>
      <c r="S71" s="175">
        <v>19.44650953939916</v>
      </c>
      <c r="T71" s="175">
        <v>153.9200019417478</v>
      </c>
      <c r="U71" s="175">
        <v>18.07999805825219</v>
      </c>
      <c r="V71" s="175">
        <v>135.57488543124882</v>
      </c>
      <c r="W71" s="258">
        <v>15.925114568751203</v>
      </c>
      <c r="X71" s="175">
        <v>117.22976892074979</v>
      </c>
      <c r="Y71" s="175">
        <v>13.770231079250216</v>
      </c>
      <c r="Z71" s="175">
        <v>103.3590710713481</v>
      </c>
      <c r="AA71" s="175">
        <v>12.140928928651908</v>
      </c>
      <c r="AB71" s="175">
        <v>89.4883732219464</v>
      </c>
      <c r="AC71" s="175">
        <v>10.5116267780536</v>
      </c>
      <c r="AD71" s="175">
        <v>75.61767537254471</v>
      </c>
      <c r="AE71" s="175">
        <v>8.882324627455292</v>
      </c>
      <c r="AF71" s="175">
        <v>61.746977523143016</v>
      </c>
      <c r="AG71" s="175">
        <v>7.253022476856984</v>
      </c>
      <c r="AH71" s="175">
        <v>48.77116340596079</v>
      </c>
      <c r="AI71" s="175">
        <v>5.728836594039212</v>
      </c>
      <c r="AJ71" s="175">
        <v>35.79534928877856</v>
      </c>
      <c r="AK71" s="175">
        <v>4.20465071122144</v>
      </c>
      <c r="AL71" s="175">
        <v>24.60930263603526</v>
      </c>
      <c r="AM71" s="175">
        <v>2.89069736396474</v>
      </c>
      <c r="AN71" s="175">
        <v>13.423255983291961</v>
      </c>
      <c r="AO71" s="175">
        <v>1.57674401670804</v>
      </c>
    </row>
    <row r="72" spans="1:41" ht="15">
      <c r="A72" s="175">
        <v>23</v>
      </c>
      <c r="B72" s="175"/>
      <c r="C72" s="175"/>
      <c r="D72" s="175">
        <v>636.9058955881295</v>
      </c>
      <c r="E72" s="175">
        <v>54.09410441187047</v>
      </c>
      <c r="F72" s="175">
        <v>545.1951334882469</v>
      </c>
      <c r="G72" s="175">
        <v>46.30486651175308</v>
      </c>
      <c r="H72" s="175">
        <v>453.4843713883643</v>
      </c>
      <c r="I72" s="175">
        <v>38.5156286116357</v>
      </c>
      <c r="J72" s="175">
        <v>388.0425210457345</v>
      </c>
      <c r="K72" s="175">
        <v>32.95747895426551</v>
      </c>
      <c r="L72" s="175">
        <v>322.6006707031047</v>
      </c>
      <c r="M72" s="175">
        <v>27.399329296895317</v>
      </c>
      <c r="N72" s="175">
        <v>262.22825947152364</v>
      </c>
      <c r="O72" s="175">
        <v>22.271740528476336</v>
      </c>
      <c r="P72" s="175">
        <v>201.85584823994265</v>
      </c>
      <c r="Q72" s="175">
        <v>17.144151760057355</v>
      </c>
      <c r="R72" s="175">
        <v>188.95182141181846</v>
      </c>
      <c r="S72" s="175">
        <v>16.048178588181543</v>
      </c>
      <c r="T72" s="175">
        <v>176.04779458369427</v>
      </c>
      <c r="U72" s="175">
        <v>14.952205416305729</v>
      </c>
      <c r="V72" s="175">
        <v>154.84832193749025</v>
      </c>
      <c r="W72" s="258">
        <v>13.15167806250975</v>
      </c>
      <c r="X72" s="175">
        <v>133.6488492912862</v>
      </c>
      <c r="Y72" s="175">
        <v>11.351150708713773</v>
      </c>
      <c r="Z72" s="175">
        <v>117.97967385713542</v>
      </c>
      <c r="AA72" s="175">
        <v>10.020326142864572</v>
      </c>
      <c r="AB72" s="175">
        <v>102.31049842298462</v>
      </c>
      <c r="AC72" s="175">
        <v>8.689501577015372</v>
      </c>
      <c r="AD72" s="175">
        <v>86.64132298883382</v>
      </c>
      <c r="AE72" s="175">
        <v>7.35867701116617</v>
      </c>
      <c r="AF72" s="175">
        <v>70.97214755468303</v>
      </c>
      <c r="AG72" s="175">
        <v>6.027852445316969</v>
      </c>
      <c r="AH72" s="175">
        <v>55.763830221536665</v>
      </c>
      <c r="AI72" s="175">
        <v>4.736169778463333</v>
      </c>
      <c r="AJ72" s="175">
        <v>40.555512888390304</v>
      </c>
      <c r="AK72" s="175">
        <v>3.4444871116096967</v>
      </c>
      <c r="AL72" s="175">
        <v>29.03406036327942</v>
      </c>
      <c r="AM72" s="175">
        <v>2.4659396367205786</v>
      </c>
      <c r="AN72" s="175">
        <v>17.512607838168538</v>
      </c>
      <c r="AO72" s="175">
        <v>1.48739216183146</v>
      </c>
    </row>
    <row r="73" spans="1:41" ht="15">
      <c r="A73" s="175">
        <v>24</v>
      </c>
      <c r="B73" s="175"/>
      <c r="C73" s="175"/>
      <c r="D73" s="175">
        <v>705.626382893818</v>
      </c>
      <c r="E73" s="175">
        <v>116.37361710618204</v>
      </c>
      <c r="F73" s="175">
        <v>610.3410684154557</v>
      </c>
      <c r="G73" s="175">
        <v>100.65893158454432</v>
      </c>
      <c r="H73" s="175">
        <v>515.0557539370934</v>
      </c>
      <c r="I73" s="175">
        <v>84.9442460629066</v>
      </c>
      <c r="J73" s="175">
        <v>442.94794838590036</v>
      </c>
      <c r="K73" s="175">
        <v>73.05205161409967</v>
      </c>
      <c r="L73" s="175">
        <v>370.84014283470725</v>
      </c>
      <c r="M73" s="175">
        <v>61.15985716529275</v>
      </c>
      <c r="N73" s="175">
        <v>297.8739110269524</v>
      </c>
      <c r="O73" s="175">
        <v>49.12608897304765</v>
      </c>
      <c r="P73" s="175">
        <v>224.90767921919746</v>
      </c>
      <c r="Q73" s="175">
        <v>37.092320780802545</v>
      </c>
      <c r="R73" s="175">
        <v>208.16836721624193</v>
      </c>
      <c r="S73" s="175">
        <v>34.33163278375808</v>
      </c>
      <c r="T73" s="175">
        <v>191.42905521328638</v>
      </c>
      <c r="U73" s="175">
        <v>31.570944786713618</v>
      </c>
      <c r="V73" s="175">
        <v>164.8178412598699</v>
      </c>
      <c r="W73" s="258">
        <v>27.182158740130113</v>
      </c>
      <c r="X73" s="175">
        <v>138.2066273064534</v>
      </c>
      <c r="Y73" s="175">
        <v>22.793372693546605</v>
      </c>
      <c r="Z73" s="175">
        <v>121.46731530349787</v>
      </c>
      <c r="AA73" s="175">
        <v>20.03268469650214</v>
      </c>
      <c r="AB73" s="175">
        <v>104.72800330054233</v>
      </c>
      <c r="AC73" s="175">
        <v>17.271996699457674</v>
      </c>
      <c r="AD73" s="175">
        <v>88.4179044258677</v>
      </c>
      <c r="AE73" s="175">
        <v>14.5820955741323</v>
      </c>
      <c r="AF73" s="175">
        <v>72.10780555119308</v>
      </c>
      <c r="AG73" s="175">
        <v>11.892194448806924</v>
      </c>
      <c r="AH73" s="175">
        <v>56.226919804799365</v>
      </c>
      <c r="AI73" s="175">
        <v>9.273080195200636</v>
      </c>
      <c r="AJ73" s="175">
        <v>40.34603405840565</v>
      </c>
      <c r="AK73" s="175">
        <v>6.65396594159435</v>
      </c>
      <c r="AL73" s="175">
        <v>27.898853338259226</v>
      </c>
      <c r="AM73" s="175">
        <v>4.601146661740774</v>
      </c>
      <c r="AN73" s="175">
        <v>15.451672618112802</v>
      </c>
      <c r="AO73" s="175">
        <v>2.548327381887198</v>
      </c>
    </row>
    <row r="74" spans="1:41" ht="15">
      <c r="A74" s="175">
        <v>25</v>
      </c>
      <c r="B74" s="175"/>
      <c r="C74" s="175"/>
      <c r="D74" s="175">
        <v>1439.2106241504407</v>
      </c>
      <c r="E74" s="175">
        <v>12.789375849559166</v>
      </c>
      <c r="F74" s="175">
        <v>1229.077943489357</v>
      </c>
      <c r="G74" s="175">
        <v>10.922056510642813</v>
      </c>
      <c r="H74" s="175">
        <v>1018.9452628282735</v>
      </c>
      <c r="I74" s="175">
        <v>9.054737171726462</v>
      </c>
      <c r="J74" s="175">
        <v>891.0815090297839</v>
      </c>
      <c r="K74" s="175">
        <v>7.91849097021604</v>
      </c>
      <c r="L74" s="175">
        <v>763.2177552312944</v>
      </c>
      <c r="M74" s="175">
        <v>6.782244768705618</v>
      </c>
      <c r="N74" s="175">
        <v>646.7527081667787</v>
      </c>
      <c r="O74" s="175">
        <v>5.747291833221319</v>
      </c>
      <c r="P74" s="175">
        <v>530.287661102263</v>
      </c>
      <c r="Q74" s="175">
        <v>4.712338897737021</v>
      </c>
      <c r="R74" s="175">
        <v>500.5519044049398</v>
      </c>
      <c r="S74" s="175">
        <v>4.448095595060178</v>
      </c>
      <c r="T74" s="175">
        <v>470.81614770761666</v>
      </c>
      <c r="U74" s="175">
        <v>4.183852292383336</v>
      </c>
      <c r="V74" s="175">
        <v>416.7961897074796</v>
      </c>
      <c r="W74" s="258">
        <v>3.703810292520406</v>
      </c>
      <c r="X74" s="175">
        <v>362.7762317073425</v>
      </c>
      <c r="Y74" s="175">
        <v>3.2237682926574758</v>
      </c>
      <c r="Z74" s="175">
        <v>329.0757074503763</v>
      </c>
      <c r="AA74" s="175">
        <v>2.924292549623721</v>
      </c>
      <c r="AB74" s="175">
        <v>295.37518319341</v>
      </c>
      <c r="AC74" s="175">
        <v>2.6248168065899664</v>
      </c>
      <c r="AD74" s="175">
        <v>262.17025488139916</v>
      </c>
      <c r="AE74" s="175">
        <v>2.329745118600826</v>
      </c>
      <c r="AF74" s="175">
        <v>228.9653265693883</v>
      </c>
      <c r="AG74" s="175">
        <v>2.0346734306116856</v>
      </c>
      <c r="AH74" s="175">
        <v>197.742782037199</v>
      </c>
      <c r="AI74" s="175">
        <v>1.7572179628010012</v>
      </c>
      <c r="AJ74" s="175">
        <v>166.52023750500967</v>
      </c>
      <c r="AK74" s="175">
        <v>1.4797624949903168</v>
      </c>
      <c r="AL74" s="175">
        <v>142.23603620219578</v>
      </c>
      <c r="AM74" s="175">
        <v>1.2639637978042289</v>
      </c>
      <c r="AN74" s="175">
        <v>117.95183489938185</v>
      </c>
      <c r="AO74" s="175">
        <v>1.048165100618141</v>
      </c>
    </row>
    <row r="75" spans="1:41" ht="15">
      <c r="A75" s="175">
        <v>26</v>
      </c>
      <c r="B75" s="175"/>
      <c r="C75" s="175"/>
      <c r="D75" s="175">
        <v>696.0189496823082</v>
      </c>
      <c r="E75" s="175">
        <v>23.981050317691825</v>
      </c>
      <c r="F75" s="175">
        <v>580.9824843875933</v>
      </c>
      <c r="G75" s="175">
        <v>20.017515612406648</v>
      </c>
      <c r="H75" s="175">
        <v>465.94601909287854</v>
      </c>
      <c r="I75" s="175">
        <v>16.05398090712147</v>
      </c>
      <c r="J75" s="175">
        <v>396.8274706174827</v>
      </c>
      <c r="K75" s="175">
        <v>13.672529382517352</v>
      </c>
      <c r="L75" s="175">
        <v>327.70892214208675</v>
      </c>
      <c r="M75" s="175">
        <v>11.291077857913233</v>
      </c>
      <c r="N75" s="175">
        <v>270.6740359875643</v>
      </c>
      <c r="O75" s="175">
        <v>9.325964012435708</v>
      </c>
      <c r="P75" s="175">
        <v>213.6391498330418</v>
      </c>
      <c r="Q75" s="175">
        <v>7.360850166958184</v>
      </c>
      <c r="R75" s="175">
        <v>201.5554875121684</v>
      </c>
      <c r="S75" s="175">
        <v>6.944512487831591</v>
      </c>
      <c r="T75" s="175">
        <v>189.471825191295</v>
      </c>
      <c r="U75" s="175">
        <v>6.528174808704996</v>
      </c>
      <c r="V75" s="175">
        <v>168.20457950655782</v>
      </c>
      <c r="W75" s="258">
        <v>5.79542049344219</v>
      </c>
      <c r="X75" s="175">
        <v>146.93733382182063</v>
      </c>
      <c r="Y75" s="175">
        <v>5.062666178179385</v>
      </c>
      <c r="Z75" s="175">
        <v>130.02020657259786</v>
      </c>
      <c r="AA75" s="175">
        <v>4.479793427402153</v>
      </c>
      <c r="AB75" s="175">
        <v>113.10307932337508</v>
      </c>
      <c r="AC75" s="175">
        <v>3.896920676624921</v>
      </c>
      <c r="AD75" s="175">
        <v>95.70260558131737</v>
      </c>
      <c r="AE75" s="175">
        <v>3.2973944186826256</v>
      </c>
      <c r="AF75" s="175">
        <v>78.30213183925967</v>
      </c>
      <c r="AG75" s="175">
        <v>2.69786816074033</v>
      </c>
      <c r="AH75" s="175">
        <v>61.86835108287184</v>
      </c>
      <c r="AI75" s="175">
        <v>2.131648917128162</v>
      </c>
      <c r="AJ75" s="175">
        <v>45.43457032648401</v>
      </c>
      <c r="AK75" s="175">
        <v>1.565429673515994</v>
      </c>
      <c r="AL75" s="175">
        <v>32.867561512775666</v>
      </c>
      <c r="AM75" s="175">
        <v>1.132438487224336</v>
      </c>
      <c r="AN75" s="175">
        <v>20.30055269906732</v>
      </c>
      <c r="AO75" s="175">
        <v>0.6994473009326782</v>
      </c>
    </row>
    <row r="76" spans="1:41" ht="15">
      <c r="A76" s="175">
        <v>27</v>
      </c>
      <c r="B76" s="175"/>
      <c r="C76" s="175"/>
      <c r="D76" s="175">
        <v>301.00562811420116</v>
      </c>
      <c r="E76" s="175">
        <v>228.9943718857989</v>
      </c>
      <c r="F76" s="175">
        <v>258.1265244866121</v>
      </c>
      <c r="G76" s="175">
        <v>196.37347551338792</v>
      </c>
      <c r="H76" s="175">
        <v>215.24742085902307</v>
      </c>
      <c r="I76" s="175">
        <v>163.75257914097693</v>
      </c>
      <c r="J76" s="175">
        <v>182.30718231067655</v>
      </c>
      <c r="K76" s="175">
        <v>138.69281768932348</v>
      </c>
      <c r="L76" s="175">
        <v>149.36694376233</v>
      </c>
      <c r="M76" s="175">
        <v>113.63305623767002</v>
      </c>
      <c r="N76" s="175">
        <v>119.55034852460253</v>
      </c>
      <c r="O76" s="175">
        <v>90.94965147539749</v>
      </c>
      <c r="P76" s="175">
        <v>89.73375328687506</v>
      </c>
      <c r="Q76" s="175">
        <v>68.26624671312496</v>
      </c>
      <c r="R76" s="175">
        <v>83.48646666563693</v>
      </c>
      <c r="S76" s="175">
        <v>63.51353333436309</v>
      </c>
      <c r="T76" s="175">
        <v>77.23918004439878</v>
      </c>
      <c r="U76" s="175">
        <v>58.76081995560123</v>
      </c>
      <c r="V76" s="175">
        <v>67.86825011254157</v>
      </c>
      <c r="W76" s="258">
        <v>51.631749887458426</v>
      </c>
      <c r="X76" s="175">
        <v>58.49732018068437</v>
      </c>
      <c r="Y76" s="175">
        <v>44.50267981931563</v>
      </c>
      <c r="Z76" s="175">
        <v>51.68209841206095</v>
      </c>
      <c r="AA76" s="175">
        <v>39.317901587939055</v>
      </c>
      <c r="AB76" s="175">
        <v>44.86687664343753</v>
      </c>
      <c r="AC76" s="175">
        <v>34.13312335656248</v>
      </c>
      <c r="AD76" s="175">
        <v>38.051654874814105</v>
      </c>
      <c r="AE76" s="175">
        <v>28.9483451251859</v>
      </c>
      <c r="AF76" s="175">
        <v>31.236433106190685</v>
      </c>
      <c r="AG76" s="175">
        <v>23.76356689380932</v>
      </c>
      <c r="AH76" s="175">
        <v>24.705178911259903</v>
      </c>
      <c r="AI76" s="175">
        <v>18.794821088740097</v>
      </c>
      <c r="AJ76" s="175">
        <v>18.173924716329125</v>
      </c>
      <c r="AK76" s="175">
        <v>13.826075283670876</v>
      </c>
      <c r="AL76" s="175">
        <v>13.06250838986156</v>
      </c>
      <c r="AM76" s="175">
        <v>9.937491610138443</v>
      </c>
      <c r="AN76" s="175">
        <v>7.951092063393992</v>
      </c>
      <c r="AO76" s="175">
        <v>6.048907936606009</v>
      </c>
    </row>
    <row r="77" spans="1:41" ht="15">
      <c r="A77" s="175">
        <v>28</v>
      </c>
      <c r="B77" s="175"/>
      <c r="C77" s="175"/>
      <c r="D77" s="175">
        <v>221.65021495128585</v>
      </c>
      <c r="E77" s="175">
        <v>224.34978504871415</v>
      </c>
      <c r="F77" s="175">
        <v>195.80758899283998</v>
      </c>
      <c r="G77" s="175">
        <v>198.19241100716002</v>
      </c>
      <c r="H77" s="175">
        <v>169.9649630343941</v>
      </c>
      <c r="I77" s="175">
        <v>172.0350369656059</v>
      </c>
      <c r="J77" s="175">
        <v>146.11023138044405</v>
      </c>
      <c r="K77" s="175">
        <v>147.88976861955595</v>
      </c>
      <c r="L77" s="175">
        <v>122.255499726494</v>
      </c>
      <c r="M77" s="175">
        <v>123.744500273506</v>
      </c>
      <c r="N77" s="175">
        <v>95.41892661580019</v>
      </c>
      <c r="O77" s="175">
        <v>96.58107338419981</v>
      </c>
      <c r="P77" s="175">
        <v>68.58235350510638</v>
      </c>
      <c r="Q77" s="175">
        <v>69.41764649489362</v>
      </c>
      <c r="R77" s="175">
        <v>62.37018380355689</v>
      </c>
      <c r="S77" s="175">
        <v>63.12981619644311</v>
      </c>
      <c r="T77" s="175">
        <v>56.1580141020074</v>
      </c>
      <c r="U77" s="175">
        <v>56.8419858979926</v>
      </c>
      <c r="V77" s="175">
        <v>47.709463307900094</v>
      </c>
      <c r="W77" s="258">
        <v>48.290536692099906</v>
      </c>
      <c r="X77" s="175">
        <v>39.26091251379279</v>
      </c>
      <c r="Y77" s="175">
        <v>39.73908748620721</v>
      </c>
      <c r="Z77" s="175">
        <v>34.53966354061517</v>
      </c>
      <c r="AA77" s="175">
        <v>34.96033645938483</v>
      </c>
      <c r="AB77" s="175">
        <v>29.818414567437557</v>
      </c>
      <c r="AC77" s="175">
        <v>30.181585432562443</v>
      </c>
      <c r="AD77" s="175">
        <v>25.097165594259945</v>
      </c>
      <c r="AE77" s="175">
        <v>25.402834405740055</v>
      </c>
      <c r="AF77" s="175">
        <v>20.375916621082332</v>
      </c>
      <c r="AG77" s="175">
        <v>20.624083378917668</v>
      </c>
      <c r="AH77" s="175">
        <v>15.903154435966698</v>
      </c>
      <c r="AI77" s="175">
        <v>16.096845564033302</v>
      </c>
      <c r="AJ77" s="175">
        <v>11.430392250851064</v>
      </c>
      <c r="AK77" s="175">
        <v>11.569607749148936</v>
      </c>
      <c r="AL77" s="175">
        <v>7.951577217983349</v>
      </c>
      <c r="AM77" s="175">
        <v>8.048422782016651</v>
      </c>
      <c r="AN77" s="175">
        <v>4.472762185115634</v>
      </c>
      <c r="AO77" s="175">
        <v>4.527237814884366</v>
      </c>
    </row>
    <row r="78" spans="1:41" ht="15">
      <c r="A78" s="175">
        <v>29</v>
      </c>
      <c r="B78" s="175"/>
      <c r="C78" s="175"/>
      <c r="D78" s="175">
        <v>0</v>
      </c>
      <c r="E78" s="175">
        <v>587</v>
      </c>
      <c r="F78" s="175">
        <v>0</v>
      </c>
      <c r="G78" s="175">
        <v>531</v>
      </c>
      <c r="H78" s="175">
        <v>0</v>
      </c>
      <c r="I78" s="175">
        <v>475</v>
      </c>
      <c r="J78" s="175">
        <v>0</v>
      </c>
      <c r="K78" s="175">
        <v>435</v>
      </c>
      <c r="L78" s="175">
        <v>0</v>
      </c>
      <c r="M78" s="175">
        <v>395</v>
      </c>
      <c r="N78" s="175">
        <v>0</v>
      </c>
      <c r="O78" s="175">
        <v>354.5</v>
      </c>
      <c r="P78" s="175">
        <v>0</v>
      </c>
      <c r="Q78" s="175">
        <v>314</v>
      </c>
      <c r="R78" s="175">
        <v>0</v>
      </c>
      <c r="S78" s="175">
        <v>302.5</v>
      </c>
      <c r="T78" s="175">
        <v>0</v>
      </c>
      <c r="U78" s="175">
        <v>291</v>
      </c>
      <c r="V78" s="175">
        <v>0</v>
      </c>
      <c r="W78" s="258">
        <v>269.5</v>
      </c>
      <c r="X78" s="175">
        <v>0</v>
      </c>
      <c r="Y78" s="175">
        <v>248</v>
      </c>
      <c r="Z78" s="175">
        <v>0</v>
      </c>
      <c r="AA78" s="175">
        <v>227</v>
      </c>
      <c r="AB78" s="175">
        <v>0</v>
      </c>
      <c r="AC78" s="175">
        <v>206</v>
      </c>
      <c r="AD78" s="175">
        <v>0</v>
      </c>
      <c r="AE78" s="175">
        <v>185.5</v>
      </c>
      <c r="AF78" s="175">
        <v>0</v>
      </c>
      <c r="AG78" s="175">
        <v>165</v>
      </c>
      <c r="AH78" s="175">
        <v>0</v>
      </c>
      <c r="AI78" s="175">
        <v>146</v>
      </c>
      <c r="AJ78" s="175">
        <v>0</v>
      </c>
      <c r="AK78" s="175">
        <v>127</v>
      </c>
      <c r="AL78" s="175">
        <v>0</v>
      </c>
      <c r="AM78" s="175">
        <v>112.5</v>
      </c>
      <c r="AN78" s="175">
        <v>0</v>
      </c>
      <c r="AO78" s="175">
        <v>98</v>
      </c>
    </row>
    <row r="79" spans="1:41" ht="15">
      <c r="A79" s="175">
        <v>30</v>
      </c>
      <c r="B79" s="175"/>
      <c r="C79" s="175"/>
      <c r="D79" s="175">
        <v>0</v>
      </c>
      <c r="E79" s="175">
        <v>973</v>
      </c>
      <c r="F79" s="175">
        <v>0</v>
      </c>
      <c r="G79" s="175">
        <v>898</v>
      </c>
      <c r="H79" s="175">
        <v>0</v>
      </c>
      <c r="I79" s="175">
        <v>823</v>
      </c>
      <c r="J79" s="175">
        <v>0</v>
      </c>
      <c r="K79" s="175">
        <v>750</v>
      </c>
      <c r="L79" s="175">
        <v>0</v>
      </c>
      <c r="M79" s="175">
        <v>677</v>
      </c>
      <c r="N79" s="175">
        <v>0</v>
      </c>
      <c r="O79" s="175">
        <v>588</v>
      </c>
      <c r="P79" s="175">
        <v>0</v>
      </c>
      <c r="Q79" s="175">
        <v>499</v>
      </c>
      <c r="R79" s="175">
        <v>0</v>
      </c>
      <c r="S79" s="175">
        <v>476</v>
      </c>
      <c r="T79" s="175">
        <v>0</v>
      </c>
      <c r="U79" s="175">
        <v>453</v>
      </c>
      <c r="V79" s="175">
        <v>0</v>
      </c>
      <c r="W79" s="258">
        <v>415</v>
      </c>
      <c r="X79" s="175">
        <v>0</v>
      </c>
      <c r="Y79" s="175">
        <v>377</v>
      </c>
      <c r="Z79" s="175">
        <v>0</v>
      </c>
      <c r="AA79" s="175">
        <v>353.5</v>
      </c>
      <c r="AB79" s="175">
        <v>0</v>
      </c>
      <c r="AC79" s="175">
        <v>330</v>
      </c>
      <c r="AD79" s="175">
        <v>0</v>
      </c>
      <c r="AE79" s="175">
        <v>306.5</v>
      </c>
      <c r="AF79" s="175">
        <v>0</v>
      </c>
      <c r="AG79" s="175">
        <v>283</v>
      </c>
      <c r="AH79" s="175">
        <v>0</v>
      </c>
      <c r="AI79" s="175">
        <v>261</v>
      </c>
      <c r="AJ79" s="175">
        <v>0</v>
      </c>
      <c r="AK79" s="175">
        <v>239</v>
      </c>
      <c r="AL79" s="175">
        <v>0</v>
      </c>
      <c r="AM79" s="175">
        <v>222.5</v>
      </c>
      <c r="AN79" s="175">
        <v>0</v>
      </c>
      <c r="AO79" s="175">
        <v>206</v>
      </c>
    </row>
    <row r="80" spans="1:41" ht="15">
      <c r="A80" s="175">
        <v>31</v>
      </c>
      <c r="B80" s="175"/>
      <c r="C80" s="175"/>
      <c r="D80" s="175">
        <v>0</v>
      </c>
      <c r="E80" s="175">
        <v>435</v>
      </c>
      <c r="F80" s="175">
        <v>0</v>
      </c>
      <c r="G80" s="175">
        <v>418</v>
      </c>
      <c r="H80" s="175">
        <v>0</v>
      </c>
      <c r="I80" s="175">
        <v>401</v>
      </c>
      <c r="J80" s="175">
        <v>0</v>
      </c>
      <c r="K80" s="175">
        <v>380.5</v>
      </c>
      <c r="L80" s="175">
        <v>0</v>
      </c>
      <c r="M80" s="175">
        <v>360</v>
      </c>
      <c r="N80" s="175">
        <v>0</v>
      </c>
      <c r="O80" s="175">
        <v>324.5</v>
      </c>
      <c r="P80" s="175">
        <v>0</v>
      </c>
      <c r="Q80" s="175">
        <v>289</v>
      </c>
      <c r="R80" s="175">
        <v>0</v>
      </c>
      <c r="S80" s="175">
        <v>276</v>
      </c>
      <c r="T80" s="175">
        <v>0</v>
      </c>
      <c r="U80" s="175">
        <v>263</v>
      </c>
      <c r="V80" s="175">
        <v>0</v>
      </c>
      <c r="W80" s="258">
        <v>238</v>
      </c>
      <c r="X80" s="175">
        <v>0</v>
      </c>
      <c r="Y80" s="175">
        <v>213</v>
      </c>
      <c r="Z80" s="175">
        <v>0</v>
      </c>
      <c r="AA80" s="175">
        <v>199</v>
      </c>
      <c r="AB80" s="175">
        <v>0</v>
      </c>
      <c r="AC80" s="175">
        <v>185</v>
      </c>
      <c r="AD80" s="175">
        <v>0</v>
      </c>
      <c r="AE80" s="175">
        <v>172.5</v>
      </c>
      <c r="AF80" s="175">
        <v>0</v>
      </c>
      <c r="AG80" s="175">
        <v>160</v>
      </c>
      <c r="AH80" s="175">
        <v>0</v>
      </c>
      <c r="AI80" s="175">
        <v>148.5</v>
      </c>
      <c r="AJ80" s="175">
        <v>0</v>
      </c>
      <c r="AK80" s="175">
        <v>137</v>
      </c>
      <c r="AL80" s="175">
        <v>0</v>
      </c>
      <c r="AM80" s="175">
        <v>127</v>
      </c>
      <c r="AN80" s="175">
        <v>0</v>
      </c>
      <c r="AO80" s="175">
        <v>117</v>
      </c>
    </row>
    <row r="81" spans="1:41" ht="15">
      <c r="A81" s="175">
        <v>32</v>
      </c>
      <c r="B81" s="175"/>
      <c r="C81" s="175"/>
      <c r="D81" s="175">
        <v>0.3081521337028428</v>
      </c>
      <c r="E81" s="175">
        <v>323.69184786629717</v>
      </c>
      <c r="F81" s="175">
        <v>0.28485050630864633</v>
      </c>
      <c r="G81" s="175">
        <v>299.21514949369134</v>
      </c>
      <c r="H81" s="175">
        <v>0.2615488789144499</v>
      </c>
      <c r="I81" s="175">
        <v>274.7384511210856</v>
      </c>
      <c r="J81" s="175">
        <v>0.24157605543371008</v>
      </c>
      <c r="K81" s="175">
        <v>253.7584239445663</v>
      </c>
      <c r="L81" s="175">
        <v>0.22160323195297027</v>
      </c>
      <c r="M81" s="175">
        <v>232.77839676804703</v>
      </c>
      <c r="N81" s="175">
        <v>0.19639943089394146</v>
      </c>
      <c r="O81" s="175">
        <v>206.30360056910607</v>
      </c>
      <c r="P81" s="175">
        <v>0.17119562983491265</v>
      </c>
      <c r="Q81" s="175">
        <v>179.82880437016507</v>
      </c>
      <c r="R81" s="175">
        <v>0.1635869351755832</v>
      </c>
      <c r="S81" s="175">
        <v>171.83641306482443</v>
      </c>
      <c r="T81" s="175">
        <v>0.15597824051625375</v>
      </c>
      <c r="U81" s="175">
        <v>163.84402175948375</v>
      </c>
      <c r="V81" s="175">
        <v>0.1426630248624272</v>
      </c>
      <c r="W81" s="258">
        <v>149.85733697513757</v>
      </c>
      <c r="X81" s="175">
        <v>0.12934780920860067</v>
      </c>
      <c r="Y81" s="175">
        <v>135.8706521907914</v>
      </c>
      <c r="Z81" s="175">
        <v>0.11841031063581459</v>
      </c>
      <c r="AA81" s="175">
        <v>124.38158968936419</v>
      </c>
      <c r="AB81" s="175">
        <v>0.1074728120630285</v>
      </c>
      <c r="AC81" s="175">
        <v>112.89252718793698</v>
      </c>
      <c r="AD81" s="175">
        <v>0.0974864003226586</v>
      </c>
      <c r="AE81" s="175">
        <v>102.40251359967733</v>
      </c>
      <c r="AF81" s="175">
        <v>0.08749998858228869</v>
      </c>
      <c r="AG81" s="175">
        <v>91.9125000114177</v>
      </c>
      <c r="AH81" s="175">
        <v>0.07798912025812688</v>
      </c>
      <c r="AI81" s="175">
        <v>81.92201087974188</v>
      </c>
      <c r="AJ81" s="175">
        <v>0.06847825193396506</v>
      </c>
      <c r="AK81" s="175">
        <v>71.93152174806603</v>
      </c>
      <c r="AL81" s="175">
        <v>0.06086955727463561</v>
      </c>
      <c r="AM81" s="175">
        <v>63.939130442725364</v>
      </c>
      <c r="AN81" s="175">
        <v>0.05326086261530616</v>
      </c>
      <c r="AO81" s="175">
        <v>55.9467391373847</v>
      </c>
    </row>
    <row r="82" spans="1:41" ht="15">
      <c r="A82" s="175">
        <v>33</v>
      </c>
      <c r="B82" s="175"/>
      <c r="C82" s="175"/>
      <c r="D82" s="175">
        <v>0.22427142748913065</v>
      </c>
      <c r="E82" s="175">
        <v>635.7757285725108</v>
      </c>
      <c r="F82" s="175">
        <v>0.20364268769649835</v>
      </c>
      <c r="G82" s="175">
        <v>577.2963573123035</v>
      </c>
      <c r="H82" s="175">
        <v>0.18301394790386605</v>
      </c>
      <c r="I82" s="175">
        <v>518.8169860520961</v>
      </c>
      <c r="J82" s="175">
        <v>0.16873251266281292</v>
      </c>
      <c r="K82" s="175">
        <v>478.3312674873372</v>
      </c>
      <c r="L82" s="175">
        <v>0.15445107742175979</v>
      </c>
      <c r="M82" s="175">
        <v>437.84554892257825</v>
      </c>
      <c r="N82" s="175">
        <v>0.13928807210409844</v>
      </c>
      <c r="O82" s="175">
        <v>394.8607119278959</v>
      </c>
      <c r="P82" s="175">
        <v>0.12412506678643709</v>
      </c>
      <c r="Q82" s="175">
        <v>351.87587493321354</v>
      </c>
      <c r="R82" s="175">
        <v>0.11989353041871764</v>
      </c>
      <c r="S82" s="175">
        <v>339.8801064695813</v>
      </c>
      <c r="T82" s="175">
        <v>0.1156619940509982</v>
      </c>
      <c r="U82" s="175">
        <v>327.884338005949</v>
      </c>
      <c r="V82" s="175">
        <v>0.1071989213155593</v>
      </c>
      <c r="W82" s="258">
        <v>303.89280107868444</v>
      </c>
      <c r="X82" s="175">
        <v>0.09873584858012041</v>
      </c>
      <c r="Y82" s="175">
        <v>279.90126415141987</v>
      </c>
      <c r="Z82" s="175">
        <v>0.0934464281204711</v>
      </c>
      <c r="AA82" s="175">
        <v>264.90655357187956</v>
      </c>
      <c r="AB82" s="175">
        <v>0.0881570076608218</v>
      </c>
      <c r="AC82" s="175">
        <v>249.9118429923392</v>
      </c>
      <c r="AD82" s="175">
        <v>0.08269127318585084</v>
      </c>
      <c r="AE82" s="175">
        <v>234.41730872681416</v>
      </c>
      <c r="AF82" s="175">
        <v>0.07722553871087989</v>
      </c>
      <c r="AG82" s="175">
        <v>218.92277446128912</v>
      </c>
      <c r="AH82" s="175">
        <v>0.07228874628187387</v>
      </c>
      <c r="AI82" s="175">
        <v>204.92771125371812</v>
      </c>
      <c r="AJ82" s="175">
        <v>0.06735195385286785</v>
      </c>
      <c r="AK82" s="175">
        <v>190.93264804614714</v>
      </c>
      <c r="AL82" s="175">
        <v>0.06364935953111334</v>
      </c>
      <c r="AM82" s="175">
        <v>180.43635064046887</v>
      </c>
      <c r="AN82" s="175">
        <v>0.05994676520935882</v>
      </c>
      <c r="AO82" s="175">
        <v>169.94005323479064</v>
      </c>
    </row>
    <row r="83" spans="1:41" ht="15">
      <c r="A83" s="175">
        <v>34</v>
      </c>
      <c r="B83" s="175"/>
      <c r="C83" s="175"/>
      <c r="D83" s="175">
        <v>1.1458355280511152</v>
      </c>
      <c r="E83" s="175">
        <v>459.8541644719489</v>
      </c>
      <c r="F83" s="175">
        <v>0.9942173779185381</v>
      </c>
      <c r="G83" s="175">
        <v>399.0057826220815</v>
      </c>
      <c r="H83" s="175">
        <v>0.8425992277859611</v>
      </c>
      <c r="I83" s="175">
        <v>338.15740077221403</v>
      </c>
      <c r="J83" s="175">
        <v>0.7431774899941073</v>
      </c>
      <c r="K83" s="175">
        <v>298.2568225100059</v>
      </c>
      <c r="L83" s="175">
        <v>0.6437557522022535</v>
      </c>
      <c r="M83" s="175">
        <v>258.35624424779775</v>
      </c>
      <c r="N83" s="175">
        <v>0.5505478730223905</v>
      </c>
      <c r="O83" s="175">
        <v>220.9494521269776</v>
      </c>
      <c r="P83" s="175">
        <v>0.45733999384252755</v>
      </c>
      <c r="Q83" s="175">
        <v>183.54266000615746</v>
      </c>
      <c r="R83" s="175">
        <v>0.43497010283936044</v>
      </c>
      <c r="S83" s="175">
        <v>174.56502989716063</v>
      </c>
      <c r="T83" s="175">
        <v>0.41260021183619333</v>
      </c>
      <c r="U83" s="175">
        <v>165.5873997881638</v>
      </c>
      <c r="V83" s="175">
        <v>0.37158874499705363</v>
      </c>
      <c r="W83" s="258">
        <v>149.12841125500296</v>
      </c>
      <c r="X83" s="175">
        <v>0.33057727815791393</v>
      </c>
      <c r="Y83" s="175">
        <v>132.6694227218421</v>
      </c>
      <c r="Z83" s="175">
        <v>0.2995079850979596</v>
      </c>
      <c r="AA83" s="175">
        <v>120.20049201490204</v>
      </c>
      <c r="AB83" s="175">
        <v>0.2684386920380053</v>
      </c>
      <c r="AC83" s="175">
        <v>107.731561307962</v>
      </c>
      <c r="AD83" s="175">
        <v>0.2361266272556528</v>
      </c>
      <c r="AE83" s="175">
        <v>94.76387337274434</v>
      </c>
      <c r="AF83" s="175">
        <v>0.20381456247330032</v>
      </c>
      <c r="AG83" s="175">
        <v>81.7961854375267</v>
      </c>
      <c r="AH83" s="175">
        <v>0.17523081285814235</v>
      </c>
      <c r="AI83" s="175">
        <v>70.32476918714185</v>
      </c>
      <c r="AJ83" s="175">
        <v>0.14664706324298438</v>
      </c>
      <c r="AK83" s="175">
        <v>58.85335293675701</v>
      </c>
      <c r="AL83" s="175">
        <v>0.1230344005174191</v>
      </c>
      <c r="AM83" s="175">
        <v>49.37696559948258</v>
      </c>
      <c r="AN83" s="175">
        <v>0.09942173779185381</v>
      </c>
      <c r="AO83" s="175">
        <v>39.90057826220814</v>
      </c>
    </row>
    <row r="84" spans="1:41" ht="15">
      <c r="A84" s="175">
        <v>35</v>
      </c>
      <c r="B84" s="175"/>
      <c r="C84" s="175"/>
      <c r="D84" s="175">
        <v>3.6021724075294337</v>
      </c>
      <c r="E84" s="175">
        <v>234.39782759247058</v>
      </c>
      <c r="F84" s="175">
        <v>3.2691984875057045</v>
      </c>
      <c r="G84" s="175">
        <v>212.73080151249428</v>
      </c>
      <c r="H84" s="175">
        <v>2.9362245674819754</v>
      </c>
      <c r="I84" s="175">
        <v>191.063775432518</v>
      </c>
      <c r="J84" s="175">
        <v>2.6713589492812817</v>
      </c>
      <c r="K84" s="175">
        <v>173.82864105071872</v>
      </c>
      <c r="L84" s="175">
        <v>2.406493331080588</v>
      </c>
      <c r="M84" s="175">
        <v>156.59350666891942</v>
      </c>
      <c r="N84" s="175">
        <v>2.1037897674226524</v>
      </c>
      <c r="O84" s="175">
        <v>136.89621023257735</v>
      </c>
      <c r="P84" s="175">
        <v>1.8010862037647168</v>
      </c>
      <c r="Q84" s="175">
        <v>117.19891379623529</v>
      </c>
      <c r="R84" s="175">
        <v>1.7178427237587846</v>
      </c>
      <c r="S84" s="175">
        <v>111.78215727624122</v>
      </c>
      <c r="T84" s="175">
        <v>1.6345992437528523</v>
      </c>
      <c r="U84" s="175">
        <v>106.36540075624714</v>
      </c>
      <c r="V84" s="175">
        <v>1.4983826401067812</v>
      </c>
      <c r="W84" s="258">
        <v>97.50161735989322</v>
      </c>
      <c r="X84" s="175">
        <v>1.3621660364607102</v>
      </c>
      <c r="Y84" s="175">
        <v>88.6378339635393</v>
      </c>
      <c r="Z84" s="175">
        <v>1.2562197891804328</v>
      </c>
      <c r="AA84" s="175">
        <v>81.74378021081957</v>
      </c>
      <c r="AB84" s="175">
        <v>1.1502735419001553</v>
      </c>
      <c r="AC84" s="175">
        <v>74.84972645809984</v>
      </c>
      <c r="AD84" s="175">
        <v>1.0518948837113262</v>
      </c>
      <c r="AE84" s="175">
        <v>68.44810511628867</v>
      </c>
      <c r="AF84" s="175">
        <v>0.9535162255224972</v>
      </c>
      <c r="AG84" s="175">
        <v>62.0464837744775</v>
      </c>
      <c r="AH84" s="175">
        <v>0.8702727455165649</v>
      </c>
      <c r="AI84" s="175">
        <v>56.629727254483434</v>
      </c>
      <c r="AJ84" s="175">
        <v>0.7870292655106326</v>
      </c>
      <c r="AK84" s="175">
        <v>51.21297073448937</v>
      </c>
      <c r="AL84" s="175">
        <v>0.7037857855047003</v>
      </c>
      <c r="AM84" s="175">
        <v>45.7962142144953</v>
      </c>
      <c r="AN84" s="175">
        <v>0.620542305498768</v>
      </c>
      <c r="AO84" s="175">
        <v>40.379457694501234</v>
      </c>
    </row>
    <row r="85" spans="1:41" ht="15">
      <c r="A85" s="175">
        <v>36</v>
      </c>
      <c r="B85" s="175"/>
      <c r="C85" s="175"/>
      <c r="D85" s="175">
        <v>3.1564002950200867</v>
      </c>
      <c r="E85" s="175">
        <v>237.8435997049799</v>
      </c>
      <c r="F85" s="175">
        <v>2.7765844918848894</v>
      </c>
      <c r="G85" s="175">
        <v>209.22341550811512</v>
      </c>
      <c r="H85" s="175">
        <v>2.396768688749692</v>
      </c>
      <c r="I85" s="175">
        <v>180.6032313112503</v>
      </c>
      <c r="J85" s="175">
        <v>2.1282782072230875</v>
      </c>
      <c r="K85" s="175">
        <v>160.37172179277692</v>
      </c>
      <c r="L85" s="175">
        <v>1.8597877256964825</v>
      </c>
      <c r="M85" s="175">
        <v>140.1402122743035</v>
      </c>
      <c r="N85" s="175">
        <v>1.604394340829712</v>
      </c>
      <c r="O85" s="175">
        <v>120.89560565917029</v>
      </c>
      <c r="P85" s="175">
        <v>1.3490009559629415</v>
      </c>
      <c r="Q85" s="175">
        <v>101.65099904403706</v>
      </c>
      <c r="R85" s="175">
        <v>1.296612569323604</v>
      </c>
      <c r="S85" s="175">
        <v>97.7033874306764</v>
      </c>
      <c r="T85" s="175">
        <v>1.2442241826842664</v>
      </c>
      <c r="U85" s="175">
        <v>93.75577581731574</v>
      </c>
      <c r="V85" s="175">
        <v>1.1525445060654258</v>
      </c>
      <c r="W85" s="258">
        <v>86.84745549393458</v>
      </c>
      <c r="X85" s="175">
        <v>1.0608648294465852</v>
      </c>
      <c r="Y85" s="175">
        <v>79.93913517055341</v>
      </c>
      <c r="Z85" s="175">
        <v>0.9691851528277444</v>
      </c>
      <c r="AA85" s="175">
        <v>73.03081484717225</v>
      </c>
      <c r="AB85" s="175">
        <v>0.8775054762089037</v>
      </c>
      <c r="AC85" s="175">
        <v>66.12249452379109</v>
      </c>
      <c r="AD85" s="175">
        <v>0.7792772512601458</v>
      </c>
      <c r="AE85" s="175">
        <v>58.72072274873985</v>
      </c>
      <c r="AF85" s="175">
        <v>0.681049026311388</v>
      </c>
      <c r="AG85" s="175">
        <v>51.318950973688615</v>
      </c>
      <c r="AH85" s="175">
        <v>0.6090149946822989</v>
      </c>
      <c r="AI85" s="175">
        <v>45.8909850053177</v>
      </c>
      <c r="AJ85" s="175">
        <v>0.5369809630532097</v>
      </c>
      <c r="AK85" s="175">
        <v>40.46301903694679</v>
      </c>
      <c r="AL85" s="175">
        <v>0.45839838309420344</v>
      </c>
      <c r="AM85" s="175">
        <v>34.541601616905794</v>
      </c>
      <c r="AN85" s="175">
        <v>0.37981580313519714</v>
      </c>
      <c r="AO85" s="175">
        <v>28.620184196864802</v>
      </c>
    </row>
    <row r="86" spans="1:41" ht="15">
      <c r="A86" s="175">
        <v>37</v>
      </c>
      <c r="B86" s="175"/>
      <c r="C86" s="175"/>
      <c r="D86" s="175">
        <v>0.19774896967874156</v>
      </c>
      <c r="E86" s="175">
        <v>639.8022510303213</v>
      </c>
      <c r="F86" s="175">
        <v>0.17411178814682948</v>
      </c>
      <c r="G86" s="175">
        <v>563.3258882118532</v>
      </c>
      <c r="H86" s="175">
        <v>0.1504746066149174</v>
      </c>
      <c r="I86" s="175">
        <v>486.8495253933851</v>
      </c>
      <c r="J86" s="175">
        <v>0.1339440286808351</v>
      </c>
      <c r="K86" s="175">
        <v>433.36605597131916</v>
      </c>
      <c r="L86" s="175">
        <v>0.1174134507467528</v>
      </c>
      <c r="M86" s="175">
        <v>379.88258654925323</v>
      </c>
      <c r="N86" s="175">
        <v>0.1008828728126705</v>
      </c>
      <c r="O86" s="175">
        <v>326.3991171271873</v>
      </c>
      <c r="P86" s="175">
        <v>0.0843522948785882</v>
      </c>
      <c r="Q86" s="175">
        <v>272.9156477051214</v>
      </c>
      <c r="R86" s="175">
        <v>0.08002653616686572</v>
      </c>
      <c r="S86" s="175">
        <v>258.9199734638331</v>
      </c>
      <c r="T86" s="175">
        <v>0.07570077745514325</v>
      </c>
      <c r="U86" s="175">
        <v>244.92429922254485</v>
      </c>
      <c r="V86" s="175">
        <v>0.06828519109219044</v>
      </c>
      <c r="W86" s="258">
        <v>220.9317148089078</v>
      </c>
      <c r="X86" s="175">
        <v>0.060869604729237636</v>
      </c>
      <c r="Y86" s="175">
        <v>196.93913039527075</v>
      </c>
      <c r="Z86" s="175">
        <v>0.053608509748846345</v>
      </c>
      <c r="AA86" s="175">
        <v>173.44639149025116</v>
      </c>
      <c r="AB86" s="175">
        <v>0.04634741476845505</v>
      </c>
      <c r="AC86" s="175">
        <v>149.95365258523154</v>
      </c>
      <c r="AD86" s="175">
        <v>0.03908631978806376</v>
      </c>
      <c r="AE86" s="175">
        <v>126.46091368021193</v>
      </c>
      <c r="AF86" s="175">
        <v>0.03182522480767247</v>
      </c>
      <c r="AG86" s="175">
        <v>102.96817477519232</v>
      </c>
      <c r="AH86" s="175">
        <v>0.024100655679596628</v>
      </c>
      <c r="AI86" s="175">
        <v>77.9758993443204</v>
      </c>
      <c r="AJ86" s="175">
        <v>0.016376086551520785</v>
      </c>
      <c r="AK86" s="175">
        <v>52.98362391344848</v>
      </c>
      <c r="AL86" s="175">
        <v>0.01915693143762809</v>
      </c>
      <c r="AM86" s="175">
        <v>61.98084306856237</v>
      </c>
      <c r="AN86" s="175">
        <v>0.021937776323735392</v>
      </c>
      <c r="AO86" s="175">
        <v>70.97806222367626</v>
      </c>
    </row>
    <row r="87" spans="1:41" ht="15">
      <c r="A87" s="175">
        <v>38</v>
      </c>
      <c r="B87" s="175"/>
      <c r="C87" s="175"/>
      <c r="D87" s="175">
        <v>1.4105086628945995</v>
      </c>
      <c r="E87" s="175">
        <v>556.5894913371054</v>
      </c>
      <c r="F87" s="175">
        <v>1.2449382015691581</v>
      </c>
      <c r="G87" s="175">
        <v>491.25506179843086</v>
      </c>
      <c r="H87" s="175">
        <v>1.079367740243717</v>
      </c>
      <c r="I87" s="175">
        <v>425.9206322597563</v>
      </c>
      <c r="J87" s="175">
        <v>0.9592975583664884</v>
      </c>
      <c r="K87" s="175">
        <v>378.5407024416335</v>
      </c>
      <c r="L87" s="175">
        <v>0.8392273764892599</v>
      </c>
      <c r="M87" s="175">
        <v>331.16077262351075</v>
      </c>
      <c r="N87" s="175">
        <v>0.7178932979606922</v>
      </c>
      <c r="O87" s="175">
        <v>283.2821067020393</v>
      </c>
      <c r="P87" s="175">
        <v>0.5965592194321245</v>
      </c>
      <c r="Q87" s="175">
        <v>235.40344078056788</v>
      </c>
      <c r="R87" s="175">
        <v>0.5674895964513218</v>
      </c>
      <c r="S87" s="175">
        <v>223.9325104035487</v>
      </c>
      <c r="T87" s="175">
        <v>0.5384199734705192</v>
      </c>
      <c r="U87" s="175">
        <v>212.46158002652948</v>
      </c>
      <c r="V87" s="175">
        <v>0.4853363141142708</v>
      </c>
      <c r="W87" s="258">
        <v>191.51466368588572</v>
      </c>
      <c r="X87" s="175">
        <v>0.43225265475802244</v>
      </c>
      <c r="Y87" s="175">
        <v>170.56774734524197</v>
      </c>
      <c r="Z87" s="175">
        <v>0.3968635485205235</v>
      </c>
      <c r="AA87" s="175">
        <v>156.6031364514795</v>
      </c>
      <c r="AB87" s="175">
        <v>0.3614744422830246</v>
      </c>
      <c r="AC87" s="175">
        <v>142.63852555771697</v>
      </c>
      <c r="AD87" s="175">
        <v>0.32734923269686494</v>
      </c>
      <c r="AE87" s="175">
        <v>129.17265076730314</v>
      </c>
      <c r="AF87" s="175">
        <v>0.2932240231107053</v>
      </c>
      <c r="AG87" s="175">
        <v>115.70677597688929</v>
      </c>
      <c r="AH87" s="175">
        <v>0.26036271017588486</v>
      </c>
      <c r="AI87" s="175">
        <v>102.73963728982412</v>
      </c>
      <c r="AJ87" s="175">
        <v>0.22750139724106444</v>
      </c>
      <c r="AK87" s="175">
        <v>89.77249860275893</v>
      </c>
      <c r="AL87" s="175">
        <v>0.2022234642142795</v>
      </c>
      <c r="AM87" s="175">
        <v>79.79777653578572</v>
      </c>
      <c r="AN87" s="175">
        <v>0.17694553118749456</v>
      </c>
      <c r="AO87" s="175">
        <v>69.8230544688125</v>
      </c>
    </row>
    <row r="88" spans="1:41" ht="15">
      <c r="A88" s="175">
        <v>39</v>
      </c>
      <c r="B88" s="175"/>
      <c r="C88" s="175"/>
      <c r="D88" s="175">
        <v>6.1481415473954995</v>
      </c>
      <c r="E88" s="175">
        <v>515.8518584526045</v>
      </c>
      <c r="F88" s="175">
        <v>5.359012268323664</v>
      </c>
      <c r="G88" s="175">
        <v>449.6409877316763</v>
      </c>
      <c r="H88" s="175">
        <v>4.569882989251827</v>
      </c>
      <c r="I88" s="175">
        <v>383.4301170107482</v>
      </c>
      <c r="J88" s="175">
        <v>4.0398707868901464</v>
      </c>
      <c r="K88" s="175">
        <v>338.96012921310984</v>
      </c>
      <c r="L88" s="175">
        <v>3.509858584528465</v>
      </c>
      <c r="M88" s="175">
        <v>294.49014141547156</v>
      </c>
      <c r="N88" s="175">
        <v>2.9975134555788405</v>
      </c>
      <c r="O88" s="175">
        <v>251.50248654442115</v>
      </c>
      <c r="P88" s="175">
        <v>2.4851683266292155</v>
      </c>
      <c r="Q88" s="175">
        <v>208.5148316733708</v>
      </c>
      <c r="R88" s="175">
        <v>2.361498812744823</v>
      </c>
      <c r="S88" s="175">
        <v>198.13850118725517</v>
      </c>
      <c r="T88" s="175">
        <v>2.237829298860431</v>
      </c>
      <c r="U88" s="175">
        <v>187.76217070113958</v>
      </c>
      <c r="V88" s="175">
        <v>2.0199353934450732</v>
      </c>
      <c r="W88" s="258">
        <v>169.48006460655492</v>
      </c>
      <c r="X88" s="175">
        <v>1.8020414880297153</v>
      </c>
      <c r="Y88" s="175">
        <v>151.19795851197028</v>
      </c>
      <c r="Z88" s="175">
        <v>1.625370753909155</v>
      </c>
      <c r="AA88" s="175">
        <v>136.37462924609085</v>
      </c>
      <c r="AB88" s="175">
        <v>1.4487000197885949</v>
      </c>
      <c r="AC88" s="175">
        <v>121.55129998021141</v>
      </c>
      <c r="AD88" s="175">
        <v>1.2779183101387197</v>
      </c>
      <c r="AE88" s="175">
        <v>107.22208168986128</v>
      </c>
      <c r="AF88" s="175">
        <v>1.1071366004888448</v>
      </c>
      <c r="AG88" s="175">
        <v>92.89286339951116</v>
      </c>
      <c r="AH88" s="175">
        <v>0.9422439153096551</v>
      </c>
      <c r="AI88" s="175">
        <v>79.05775608469034</v>
      </c>
      <c r="AJ88" s="175">
        <v>0.7773512301304655</v>
      </c>
      <c r="AK88" s="175">
        <v>65.22264876986954</v>
      </c>
      <c r="AL88" s="175">
        <v>0.6536817162460733</v>
      </c>
      <c r="AM88" s="175">
        <v>54.846318283753924</v>
      </c>
      <c r="AN88" s="175">
        <v>0.530012202361681</v>
      </c>
      <c r="AO88" s="175">
        <v>44.46998779763832</v>
      </c>
    </row>
    <row r="89" spans="1:41" ht="15">
      <c r="A89" s="175">
        <v>40</v>
      </c>
      <c r="B89" s="175"/>
      <c r="C89" s="175"/>
      <c r="D89" s="175">
        <v>45.8107963981184</v>
      </c>
      <c r="E89" s="175">
        <v>458.1892036018816</v>
      </c>
      <c r="F89" s="175">
        <v>40.49347181619394</v>
      </c>
      <c r="G89" s="175">
        <v>405.00652818380604</v>
      </c>
      <c r="H89" s="175">
        <v>35.17614723426948</v>
      </c>
      <c r="I89" s="175">
        <v>351.8238527657305</v>
      </c>
      <c r="J89" s="175">
        <v>30.813214243972492</v>
      </c>
      <c r="K89" s="175">
        <v>308.1867857560275</v>
      </c>
      <c r="L89" s="175">
        <v>26.450281253675502</v>
      </c>
      <c r="M89" s="175">
        <v>264.5497187463245</v>
      </c>
      <c r="N89" s="175">
        <v>21.40563998364461</v>
      </c>
      <c r="O89" s="175">
        <v>214.09436001635538</v>
      </c>
      <c r="P89" s="175">
        <v>16.36099871361371</v>
      </c>
      <c r="Q89" s="175">
        <v>163.63900128638628</v>
      </c>
      <c r="R89" s="175">
        <v>15.04302937279483</v>
      </c>
      <c r="S89" s="175">
        <v>150.45697062720518</v>
      </c>
      <c r="T89" s="175">
        <v>13.725060031975948</v>
      </c>
      <c r="U89" s="175">
        <v>137.27493996802406</v>
      </c>
      <c r="V89" s="175">
        <v>11.634487974125307</v>
      </c>
      <c r="W89" s="258">
        <v>116.3655120258747</v>
      </c>
      <c r="X89" s="175">
        <v>9.543915916274665</v>
      </c>
      <c r="Y89" s="175">
        <v>95.45608408372533</v>
      </c>
      <c r="Z89" s="175">
        <v>8.589524324647199</v>
      </c>
      <c r="AA89" s="175">
        <v>85.9104756753528</v>
      </c>
      <c r="AB89" s="175">
        <v>7.6351327330197325</v>
      </c>
      <c r="AC89" s="175">
        <v>76.36486726698027</v>
      </c>
      <c r="AD89" s="175">
        <v>6.680741141392266</v>
      </c>
      <c r="AE89" s="175">
        <v>66.81925885860774</v>
      </c>
      <c r="AF89" s="175">
        <v>5.7263495497648</v>
      </c>
      <c r="AG89" s="175">
        <v>57.2736504502352</v>
      </c>
      <c r="AH89" s="175">
        <v>4.862852395435187</v>
      </c>
      <c r="AI89" s="175">
        <v>48.63714760456482</v>
      </c>
      <c r="AJ89" s="175">
        <v>3.999355241105574</v>
      </c>
      <c r="AK89" s="175">
        <v>40.000644758894424</v>
      </c>
      <c r="AL89" s="175">
        <v>3.2721997427227425</v>
      </c>
      <c r="AM89" s="175">
        <v>32.72780025727726</v>
      </c>
      <c r="AN89" s="175">
        <v>2.545044244339911</v>
      </c>
      <c r="AO89" s="175">
        <v>25.454955755660087</v>
      </c>
    </row>
    <row r="90" spans="1:41" ht="15">
      <c r="A90" s="175">
        <v>41</v>
      </c>
      <c r="B90" s="175"/>
      <c r="C90" s="175"/>
      <c r="D90" s="175">
        <v>68.27689416226426</v>
      </c>
      <c r="E90" s="175">
        <v>336.7231058377357</v>
      </c>
      <c r="F90" s="175">
        <v>57.65604395924537</v>
      </c>
      <c r="G90" s="175">
        <v>284.3439560407546</v>
      </c>
      <c r="H90" s="175">
        <v>47.03519375622649</v>
      </c>
      <c r="I90" s="175">
        <v>231.96480624377352</v>
      </c>
      <c r="J90" s="175">
        <v>40.37608926385751</v>
      </c>
      <c r="K90" s="175">
        <v>199.1239107361425</v>
      </c>
      <c r="L90" s="175">
        <v>33.71698477148853</v>
      </c>
      <c r="M90" s="175">
        <v>166.2830152285115</v>
      </c>
      <c r="N90" s="175">
        <v>28.069389822264196</v>
      </c>
      <c r="O90" s="175">
        <v>138.43061017773582</v>
      </c>
      <c r="P90" s="175">
        <v>22.421794873039868</v>
      </c>
      <c r="Q90" s="175">
        <v>110.57820512696013</v>
      </c>
      <c r="R90" s="175">
        <v>21.15740794410905</v>
      </c>
      <c r="S90" s="175">
        <v>104.34259205589095</v>
      </c>
      <c r="T90" s="175">
        <v>19.893021015178228</v>
      </c>
      <c r="U90" s="175">
        <v>98.10697898482177</v>
      </c>
      <c r="V90" s="175">
        <v>17.785709466960196</v>
      </c>
      <c r="W90" s="258">
        <v>87.7142905330398</v>
      </c>
      <c r="X90" s="175">
        <v>15.678397918742164</v>
      </c>
      <c r="Y90" s="175">
        <v>77.32160208125784</v>
      </c>
      <c r="Z90" s="175">
        <v>13.992548680167737</v>
      </c>
      <c r="AA90" s="175">
        <v>69.00745131983226</v>
      </c>
      <c r="AB90" s="175">
        <v>12.306699441593311</v>
      </c>
      <c r="AC90" s="175">
        <v>60.69330055840669</v>
      </c>
      <c r="AD90" s="175">
        <v>10.705142664947607</v>
      </c>
      <c r="AE90" s="175">
        <v>52.79485733505239</v>
      </c>
      <c r="AF90" s="175">
        <v>9.1035858883019</v>
      </c>
      <c r="AG90" s="175">
        <v>44.8964141116981</v>
      </c>
      <c r="AH90" s="175">
        <v>7.502029111656197</v>
      </c>
      <c r="AI90" s="175">
        <v>36.9979708883438</v>
      </c>
      <c r="AJ90" s="175">
        <v>5.900472335010491</v>
      </c>
      <c r="AK90" s="175">
        <v>29.09952766498951</v>
      </c>
      <c r="AL90" s="175">
        <v>4.720377868008393</v>
      </c>
      <c r="AM90" s="175">
        <v>23.27962213199161</v>
      </c>
      <c r="AN90" s="175">
        <v>3.540283401006295</v>
      </c>
      <c r="AO90" s="175">
        <v>17.459716598993705</v>
      </c>
    </row>
    <row r="91" spans="1:41" ht="15">
      <c r="A91" s="175">
        <v>42</v>
      </c>
      <c r="B91" s="175"/>
      <c r="C91" s="175"/>
      <c r="D91" s="175">
        <v>82.02590808064747</v>
      </c>
      <c r="E91" s="175">
        <v>356.97409191935253</v>
      </c>
      <c r="F91" s="175">
        <v>68.38606459571065</v>
      </c>
      <c r="G91" s="175">
        <v>297.61393540428935</v>
      </c>
      <c r="H91" s="175">
        <v>54.74622111077382</v>
      </c>
      <c r="I91" s="175">
        <v>238.25377888922617</v>
      </c>
      <c r="J91" s="175">
        <v>46.33809841457989</v>
      </c>
      <c r="K91" s="175">
        <v>201.6619015854201</v>
      </c>
      <c r="L91" s="175">
        <v>37.92997571838596</v>
      </c>
      <c r="M91" s="175">
        <v>165.07002428161405</v>
      </c>
      <c r="N91" s="175">
        <v>31.110053975917545</v>
      </c>
      <c r="O91" s="175">
        <v>135.38994602408246</v>
      </c>
      <c r="P91" s="175">
        <v>24.290132233449135</v>
      </c>
      <c r="Q91" s="175">
        <v>105.70986776655087</v>
      </c>
      <c r="R91" s="175">
        <v>22.888778450750145</v>
      </c>
      <c r="S91" s="175">
        <v>99.61122154924985</v>
      </c>
      <c r="T91" s="175">
        <v>21.48742466805116</v>
      </c>
      <c r="U91" s="175">
        <v>93.51257533194884</v>
      </c>
      <c r="V91" s="175">
        <v>19.15183503021951</v>
      </c>
      <c r="W91" s="258">
        <v>83.34816496978048</v>
      </c>
      <c r="X91" s="175">
        <v>16.816245392387863</v>
      </c>
      <c r="Y91" s="175">
        <v>73.18375460761214</v>
      </c>
      <c r="Z91" s="175">
        <v>14.947773682122545</v>
      </c>
      <c r="AA91" s="175">
        <v>65.05222631787746</v>
      </c>
      <c r="AB91" s="175">
        <v>13.079301971857227</v>
      </c>
      <c r="AC91" s="175">
        <v>56.92069802814277</v>
      </c>
      <c r="AD91" s="175">
        <v>11.304253847105175</v>
      </c>
      <c r="AE91" s="175">
        <v>49.19574615289483</v>
      </c>
      <c r="AF91" s="175">
        <v>9.529205722353122</v>
      </c>
      <c r="AG91" s="175">
        <v>41.470794277646874</v>
      </c>
      <c r="AH91" s="175">
        <v>7.75415759760107</v>
      </c>
      <c r="AI91" s="175">
        <v>33.74584240239893</v>
      </c>
      <c r="AJ91" s="175">
        <v>5.979109472849018</v>
      </c>
      <c r="AK91" s="175">
        <v>26.020890527150982</v>
      </c>
      <c r="AL91" s="175">
        <v>4.671179275663295</v>
      </c>
      <c r="AM91" s="175">
        <v>20.328820724336705</v>
      </c>
      <c r="AN91" s="175">
        <v>3.3632490784775726</v>
      </c>
      <c r="AO91" s="175">
        <v>14.636750921522427</v>
      </c>
    </row>
    <row r="92" spans="1:41" ht="15">
      <c r="A92" s="175">
        <v>43</v>
      </c>
      <c r="B92" s="175"/>
      <c r="C92" s="175"/>
      <c r="D92" s="175">
        <v>102.26807791905492</v>
      </c>
      <c r="E92" s="175">
        <v>368.7319220809451</v>
      </c>
      <c r="F92" s="175">
        <v>86.3090466514317</v>
      </c>
      <c r="G92" s="175">
        <v>311.1909533485683</v>
      </c>
      <c r="H92" s="175">
        <v>70.35001538380848</v>
      </c>
      <c r="I92" s="175">
        <v>253.64998461619152</v>
      </c>
      <c r="J92" s="175">
        <v>59.27640185117196</v>
      </c>
      <c r="K92" s="175">
        <v>213.72359814882805</v>
      </c>
      <c r="L92" s="175">
        <v>48.20278831853544</v>
      </c>
      <c r="M92" s="175">
        <v>173.79721168146455</v>
      </c>
      <c r="N92" s="175">
        <v>38.75764736422782</v>
      </c>
      <c r="O92" s="175">
        <v>139.7423526357722</v>
      </c>
      <c r="P92" s="175">
        <v>29.3125064099202</v>
      </c>
      <c r="Q92" s="175">
        <v>105.6874935900798</v>
      </c>
      <c r="R92" s="175">
        <v>27.46690415448078</v>
      </c>
      <c r="S92" s="175">
        <v>99.03309584551921</v>
      </c>
      <c r="T92" s="175">
        <v>25.62130189904136</v>
      </c>
      <c r="U92" s="175">
        <v>92.37869810095864</v>
      </c>
      <c r="V92" s="175">
        <v>23.12431061227038</v>
      </c>
      <c r="W92" s="258">
        <v>83.37568938772962</v>
      </c>
      <c r="X92" s="175">
        <v>20.6273193254994</v>
      </c>
      <c r="Y92" s="175">
        <v>74.3726806745006</v>
      </c>
      <c r="Z92" s="175">
        <v>18.56458739294946</v>
      </c>
      <c r="AA92" s="175">
        <v>66.93541260705054</v>
      </c>
      <c r="AB92" s="175">
        <v>16.50185546039952</v>
      </c>
      <c r="AC92" s="175">
        <v>59.49814453960048</v>
      </c>
      <c r="AD92" s="175">
        <v>14.43912352784958</v>
      </c>
      <c r="AE92" s="175">
        <v>52.06087647215042</v>
      </c>
      <c r="AF92" s="175">
        <v>12.37639159529964</v>
      </c>
      <c r="AG92" s="175">
        <v>44.62360840470036</v>
      </c>
      <c r="AH92" s="175">
        <v>10.53078933986022</v>
      </c>
      <c r="AI92" s="175">
        <v>37.96921066013978</v>
      </c>
      <c r="AJ92" s="175">
        <v>8.6851870844208</v>
      </c>
      <c r="AK92" s="175">
        <v>31.3148129155792</v>
      </c>
      <c r="AL92" s="175">
        <v>7.0567145060919</v>
      </c>
      <c r="AM92" s="175">
        <v>25.4432854939081</v>
      </c>
      <c r="AN92" s="175">
        <v>5.4282419277630005</v>
      </c>
      <c r="AO92" s="175">
        <v>19.571758072237</v>
      </c>
    </row>
    <row r="93" spans="1:41" ht="15">
      <c r="A93" s="175">
        <v>44</v>
      </c>
      <c r="B93" s="175"/>
      <c r="C93" s="175"/>
      <c r="D93" s="175">
        <v>163.01305003638592</v>
      </c>
      <c r="E93" s="175">
        <v>283.98694996361405</v>
      </c>
      <c r="F93" s="175">
        <v>137.84996177573575</v>
      </c>
      <c r="G93" s="175">
        <v>240.15003822426425</v>
      </c>
      <c r="H93" s="175">
        <v>112.68687351508557</v>
      </c>
      <c r="I93" s="175">
        <v>196.31312648491442</v>
      </c>
      <c r="J93" s="175">
        <v>94.99977524491842</v>
      </c>
      <c r="K93" s="175">
        <v>165.50022475508158</v>
      </c>
      <c r="L93" s="175">
        <v>77.31267697475127</v>
      </c>
      <c r="M93" s="175">
        <v>134.68732302524873</v>
      </c>
      <c r="N93" s="175">
        <v>61.44899089738485</v>
      </c>
      <c r="O93" s="175">
        <v>107.05100910261515</v>
      </c>
      <c r="P93" s="175">
        <v>45.585304820018436</v>
      </c>
      <c r="Q93" s="175">
        <v>79.41469517998156</v>
      </c>
      <c r="R93" s="175">
        <v>42.48550409225718</v>
      </c>
      <c r="S93" s="175">
        <v>74.01449590774281</v>
      </c>
      <c r="T93" s="175">
        <v>39.385703364495924</v>
      </c>
      <c r="U93" s="175">
        <v>68.61429663550408</v>
      </c>
      <c r="V93" s="175">
        <v>35.00951410177416</v>
      </c>
      <c r="W93" s="258">
        <v>60.99048589822584</v>
      </c>
      <c r="X93" s="175">
        <v>30.63332483905239</v>
      </c>
      <c r="Y93" s="175">
        <v>53.36667516094761</v>
      </c>
      <c r="Z93" s="175">
        <v>27.35118289201106</v>
      </c>
      <c r="AA93" s="175">
        <v>47.64881710798894</v>
      </c>
      <c r="AB93" s="175">
        <v>24.069040944969736</v>
      </c>
      <c r="AC93" s="175">
        <v>41.930959055030264</v>
      </c>
      <c r="AD93" s="175">
        <v>20.60455777864833</v>
      </c>
      <c r="AE93" s="175">
        <v>35.895442221351665</v>
      </c>
      <c r="AF93" s="175">
        <v>17.14007461232693</v>
      </c>
      <c r="AG93" s="175">
        <v>29.85992538767307</v>
      </c>
      <c r="AH93" s="175">
        <v>14.040273884565678</v>
      </c>
      <c r="AI93" s="175">
        <v>24.45972611543432</v>
      </c>
      <c r="AJ93" s="175">
        <v>10.940473156804424</v>
      </c>
      <c r="AK93" s="175">
        <v>19.059526843195577</v>
      </c>
      <c r="AL93" s="175">
        <v>8.387696086883391</v>
      </c>
      <c r="AM93" s="175">
        <v>14.612303913116609</v>
      </c>
      <c r="AN93" s="175">
        <v>5.83491901696236</v>
      </c>
      <c r="AO93" s="175">
        <v>10.16508098303764</v>
      </c>
    </row>
    <row r="94" spans="1:41" ht="15">
      <c r="A94" s="175">
        <v>45</v>
      </c>
      <c r="B94" s="175"/>
      <c r="C94" s="175"/>
      <c r="D94" s="175">
        <v>259.2115382647395</v>
      </c>
      <c r="E94" s="175">
        <v>159.78846173526048</v>
      </c>
      <c r="F94" s="175">
        <v>210.9573616903966</v>
      </c>
      <c r="G94" s="175">
        <v>130.0426383096034</v>
      </c>
      <c r="H94" s="175">
        <v>162.70318511605367</v>
      </c>
      <c r="I94" s="175">
        <v>100.29681488394631</v>
      </c>
      <c r="J94" s="175">
        <v>136.10152367122362</v>
      </c>
      <c r="K94" s="175">
        <v>83.89847632877638</v>
      </c>
      <c r="L94" s="175">
        <v>109.49986222639353</v>
      </c>
      <c r="M94" s="175">
        <v>67.50013777360645</v>
      </c>
      <c r="N94" s="175">
        <v>90.63124189924663</v>
      </c>
      <c r="O94" s="175">
        <v>55.86875810075337</v>
      </c>
      <c r="P94" s="175">
        <v>71.76262157209972</v>
      </c>
      <c r="Q94" s="175">
        <v>44.237378427900275</v>
      </c>
      <c r="R94" s="175">
        <v>68.05076183561181</v>
      </c>
      <c r="S94" s="175">
        <v>41.94923816438819</v>
      </c>
      <c r="T94" s="175">
        <v>64.33890209912389</v>
      </c>
      <c r="U94" s="175">
        <v>39.66109790087611</v>
      </c>
      <c r="V94" s="175">
        <v>57.5338259155627</v>
      </c>
      <c r="W94" s="258">
        <v>35.46617408443729</v>
      </c>
      <c r="X94" s="175">
        <v>50.728749732001525</v>
      </c>
      <c r="Y94" s="175">
        <v>31.27125026799847</v>
      </c>
      <c r="Z94" s="175">
        <v>45.47028177197698</v>
      </c>
      <c r="AA94" s="175">
        <v>28.029718228023018</v>
      </c>
      <c r="AB94" s="175">
        <v>40.211813811952425</v>
      </c>
      <c r="AC94" s="175">
        <v>24.78818618804757</v>
      </c>
      <c r="AD94" s="175">
        <v>34.95334585192788</v>
      </c>
      <c r="AE94" s="175">
        <v>21.54665414807212</v>
      </c>
      <c r="AF94" s="175">
        <v>29.69487789190333</v>
      </c>
      <c r="AG94" s="175">
        <v>18.305122108096665</v>
      </c>
      <c r="AH94" s="175">
        <v>24.74573157658611</v>
      </c>
      <c r="AI94" s="175">
        <v>15.254268423413889</v>
      </c>
      <c r="AJ94" s="175">
        <v>19.796585261268888</v>
      </c>
      <c r="AK94" s="175">
        <v>12.20341473873111</v>
      </c>
      <c r="AL94" s="175">
        <v>16.08472552478097</v>
      </c>
      <c r="AM94" s="175">
        <v>9.915274475219027</v>
      </c>
      <c r="AN94" s="175">
        <v>12.372865788293055</v>
      </c>
      <c r="AO94" s="175">
        <v>7.627134211706944</v>
      </c>
    </row>
    <row r="95" spans="1:41" ht="15">
      <c r="A95" s="175">
        <v>46</v>
      </c>
      <c r="B95" s="175"/>
      <c r="C95" s="175"/>
      <c r="D95" s="175">
        <v>282.355736269605</v>
      </c>
      <c r="E95" s="175">
        <v>228.64426373039495</v>
      </c>
      <c r="F95" s="175">
        <v>222.67976852573545</v>
      </c>
      <c r="G95" s="175">
        <v>180.32023147426452</v>
      </c>
      <c r="H95" s="175">
        <v>163.0038007818659</v>
      </c>
      <c r="I95" s="175">
        <v>131.99619921813408</v>
      </c>
      <c r="J95" s="175">
        <v>133.16581690993112</v>
      </c>
      <c r="K95" s="175">
        <v>107.83418309006886</v>
      </c>
      <c r="L95" s="175">
        <v>103.32783303799636</v>
      </c>
      <c r="M95" s="175">
        <v>83.67216696200363</v>
      </c>
      <c r="N95" s="175">
        <v>86.19862007447824</v>
      </c>
      <c r="O95" s="175">
        <v>69.80137992552174</v>
      </c>
      <c r="P95" s="175">
        <v>69.06940711096013</v>
      </c>
      <c r="Q95" s="175">
        <v>55.930592889039865</v>
      </c>
      <c r="R95" s="175">
        <v>66.30663082652173</v>
      </c>
      <c r="S95" s="175">
        <v>53.69336917347827</v>
      </c>
      <c r="T95" s="175">
        <v>63.54385454208332</v>
      </c>
      <c r="U95" s="175">
        <v>51.456145457916676</v>
      </c>
      <c r="V95" s="175">
        <v>57.74202434476267</v>
      </c>
      <c r="W95" s="258">
        <v>46.757975655237324</v>
      </c>
      <c r="X95" s="175">
        <v>51.940194147442014</v>
      </c>
      <c r="Y95" s="175">
        <v>42.05980585255798</v>
      </c>
      <c r="Z95" s="175">
        <v>46.690919207009046</v>
      </c>
      <c r="AA95" s="175">
        <v>37.80908079299095</v>
      </c>
      <c r="AB95" s="175">
        <v>41.44164426657608</v>
      </c>
      <c r="AC95" s="175">
        <v>33.558355733423916</v>
      </c>
      <c r="AD95" s="175">
        <v>35.916091697699265</v>
      </c>
      <c r="AE95" s="175">
        <v>29.083908302300728</v>
      </c>
      <c r="AF95" s="175">
        <v>30.390539128822457</v>
      </c>
      <c r="AG95" s="175">
        <v>24.60946087117754</v>
      </c>
      <c r="AH95" s="175">
        <v>25.14126418838949</v>
      </c>
      <c r="AI95" s="175">
        <v>20.35873581161051</v>
      </c>
      <c r="AJ95" s="175">
        <v>19.891989247956516</v>
      </c>
      <c r="AK95" s="175">
        <v>16.10801075204348</v>
      </c>
      <c r="AL95" s="175">
        <v>15.74782482129891</v>
      </c>
      <c r="AM95" s="175">
        <v>12.752175178701089</v>
      </c>
      <c r="AN95" s="175">
        <v>11.603660394641302</v>
      </c>
      <c r="AO95" s="175">
        <v>9.396339605358698</v>
      </c>
    </row>
    <row r="96" spans="1:41" ht="15">
      <c r="A96" s="175">
        <v>47</v>
      </c>
      <c r="B96" s="175"/>
      <c r="C96" s="175"/>
      <c r="D96" s="175">
        <v>278.59230273752013</v>
      </c>
      <c r="E96" s="175">
        <v>202.40769726247987</v>
      </c>
      <c r="F96" s="175">
        <v>227.91282978630804</v>
      </c>
      <c r="G96" s="175">
        <v>165.58717021369196</v>
      </c>
      <c r="H96" s="175">
        <v>177.23335683509598</v>
      </c>
      <c r="I96" s="175">
        <v>128.76664316490402</v>
      </c>
      <c r="J96" s="175">
        <v>147.9840610175393</v>
      </c>
      <c r="K96" s="175">
        <v>107.51593898246072</v>
      </c>
      <c r="L96" s="175">
        <v>118.73476519998259</v>
      </c>
      <c r="M96" s="175">
        <v>86.26523480001741</v>
      </c>
      <c r="N96" s="175">
        <v>98.17337903120512</v>
      </c>
      <c r="O96" s="175">
        <v>71.32662096879488</v>
      </c>
      <c r="P96" s="175">
        <v>77.61199286242764</v>
      </c>
      <c r="Q96" s="175">
        <v>56.38800713757235</v>
      </c>
      <c r="R96" s="175">
        <v>73.55763502633067</v>
      </c>
      <c r="S96" s="175">
        <v>53.44236497366932</v>
      </c>
      <c r="T96" s="175">
        <v>69.50327719023372</v>
      </c>
      <c r="U96" s="175">
        <v>50.49672280976629</v>
      </c>
      <c r="V96" s="175">
        <v>62.55294947121034</v>
      </c>
      <c r="W96" s="258">
        <v>45.44705052878966</v>
      </c>
      <c r="X96" s="175">
        <v>55.60262175218697</v>
      </c>
      <c r="Y96" s="175">
        <v>40.39737824781303</v>
      </c>
      <c r="Z96" s="175">
        <v>49.52108499804152</v>
      </c>
      <c r="AA96" s="175">
        <v>35.97891500195848</v>
      </c>
      <c r="AB96" s="175">
        <v>43.43954824389607</v>
      </c>
      <c r="AC96" s="175">
        <v>31.56045175610393</v>
      </c>
      <c r="AD96" s="175">
        <v>37.35801148975062</v>
      </c>
      <c r="AE96" s="175">
        <v>27.14198851024938</v>
      </c>
      <c r="AF96" s="175">
        <v>31.27647473560517</v>
      </c>
      <c r="AG96" s="175">
        <v>22.72352526439483</v>
      </c>
      <c r="AH96" s="175">
        <v>24.90534099316708</v>
      </c>
      <c r="AI96" s="175">
        <v>18.09465900683292</v>
      </c>
      <c r="AJ96" s="175">
        <v>18.53420725072899</v>
      </c>
      <c r="AK96" s="175">
        <v>13.46579274927101</v>
      </c>
      <c r="AL96" s="175">
        <v>14.190252426339383</v>
      </c>
      <c r="AM96" s="175">
        <v>10.309747573660617</v>
      </c>
      <c r="AN96" s="175">
        <v>9.846297601949775</v>
      </c>
      <c r="AO96" s="175">
        <v>7.153702398050224</v>
      </c>
    </row>
    <row r="97" spans="1:41" ht="15">
      <c r="A97" s="175">
        <v>48</v>
      </c>
      <c r="B97" s="175"/>
      <c r="C97" s="175"/>
      <c r="D97" s="175">
        <v>321.31865551406895</v>
      </c>
      <c r="E97" s="175">
        <v>198.68134448593108</v>
      </c>
      <c r="F97" s="175">
        <v>268.7954137473461</v>
      </c>
      <c r="G97" s="175">
        <v>166.20458625265388</v>
      </c>
      <c r="H97" s="175">
        <v>216.2721719806233</v>
      </c>
      <c r="I97" s="175">
        <v>133.7278280193767</v>
      </c>
      <c r="J97" s="175">
        <v>183.21342569215662</v>
      </c>
      <c r="K97" s="175">
        <v>113.2865743078434</v>
      </c>
      <c r="L97" s="175">
        <v>150.1546794036899</v>
      </c>
      <c r="M97" s="175">
        <v>92.8453205963101</v>
      </c>
      <c r="N97" s="175">
        <v>122.34825729189548</v>
      </c>
      <c r="O97" s="175">
        <v>75.65174270810452</v>
      </c>
      <c r="P97" s="175">
        <v>94.54183518010105</v>
      </c>
      <c r="Q97" s="175">
        <v>58.45816481989895</v>
      </c>
      <c r="R97" s="175">
        <v>88.67159051205556</v>
      </c>
      <c r="S97" s="175">
        <v>54.82840948794444</v>
      </c>
      <c r="T97" s="175">
        <v>82.80134584401007</v>
      </c>
      <c r="U97" s="175">
        <v>51.19865415598993</v>
      </c>
      <c r="V97" s="175">
        <v>73.53253847341193</v>
      </c>
      <c r="W97" s="258">
        <v>45.467461526588075</v>
      </c>
      <c r="X97" s="175">
        <v>64.26373110281378</v>
      </c>
      <c r="Y97" s="175">
        <v>39.736268897186214</v>
      </c>
      <c r="Z97" s="175">
        <v>56.53972496064867</v>
      </c>
      <c r="AA97" s="175">
        <v>34.96027503935133</v>
      </c>
      <c r="AB97" s="175">
        <v>48.815718818483546</v>
      </c>
      <c r="AC97" s="175">
        <v>30.18428118151645</v>
      </c>
      <c r="AD97" s="175">
        <v>41.400672922005036</v>
      </c>
      <c r="AE97" s="175">
        <v>25.599327077994964</v>
      </c>
      <c r="AF97" s="175">
        <v>33.98562702552652</v>
      </c>
      <c r="AG97" s="175">
        <v>21.014372974473478</v>
      </c>
      <c r="AH97" s="175">
        <v>26.87954137473461</v>
      </c>
      <c r="AI97" s="175">
        <v>16.62045862526539</v>
      </c>
      <c r="AJ97" s="175">
        <v>19.773455723942703</v>
      </c>
      <c r="AK97" s="175">
        <v>12.226544276057297</v>
      </c>
      <c r="AL97" s="175">
        <v>14.212171301583819</v>
      </c>
      <c r="AM97" s="175">
        <v>8.787828698416181</v>
      </c>
      <c r="AN97" s="175">
        <v>8.650886879224933</v>
      </c>
      <c r="AO97" s="175">
        <v>5.349113120775067</v>
      </c>
    </row>
    <row r="98" spans="1:41" ht="15">
      <c r="A98" s="175">
        <v>49</v>
      </c>
      <c r="B98" s="175"/>
      <c r="C98" s="175"/>
      <c r="D98" s="175">
        <v>403.8873131546107</v>
      </c>
      <c r="E98" s="175">
        <v>118.1126868453893</v>
      </c>
      <c r="F98" s="175">
        <v>349.3393139641891</v>
      </c>
      <c r="G98" s="175">
        <v>102.16068603581085</v>
      </c>
      <c r="H98" s="175">
        <v>294.79131477376757</v>
      </c>
      <c r="I98" s="175">
        <v>86.20868522623242</v>
      </c>
      <c r="J98" s="175">
        <v>254.17046431281534</v>
      </c>
      <c r="K98" s="175">
        <v>74.32953568718465</v>
      </c>
      <c r="L98" s="175">
        <v>213.5496138518631</v>
      </c>
      <c r="M98" s="175">
        <v>62.45038614813687</v>
      </c>
      <c r="N98" s="175">
        <v>172.9287633909109</v>
      </c>
      <c r="O98" s="175">
        <v>50.5712366090891</v>
      </c>
      <c r="P98" s="175">
        <v>132.30791292995866</v>
      </c>
      <c r="Q98" s="175">
        <v>38.692087070041325</v>
      </c>
      <c r="R98" s="175">
        <v>123.02314711031245</v>
      </c>
      <c r="S98" s="175">
        <v>35.97685288968755</v>
      </c>
      <c r="T98" s="175">
        <v>113.73838129066623</v>
      </c>
      <c r="U98" s="175">
        <v>33.26161870933377</v>
      </c>
      <c r="V98" s="175">
        <v>99.81123256119689</v>
      </c>
      <c r="W98" s="258">
        <v>29.188767438803104</v>
      </c>
      <c r="X98" s="175">
        <v>85.88408383172757</v>
      </c>
      <c r="Y98" s="175">
        <v>25.115916168272438</v>
      </c>
      <c r="Z98" s="175">
        <v>75.82558752711081</v>
      </c>
      <c r="AA98" s="175">
        <v>22.17441247288918</v>
      </c>
      <c r="AB98" s="175">
        <v>65.76709122249407</v>
      </c>
      <c r="AC98" s="175">
        <v>19.23290877750592</v>
      </c>
      <c r="AD98" s="175">
        <v>55.708594917877335</v>
      </c>
      <c r="AE98" s="175">
        <v>16.29140508212266</v>
      </c>
      <c r="AF98" s="175">
        <v>45.650098613260596</v>
      </c>
      <c r="AG98" s="175">
        <v>13.349901386739404</v>
      </c>
      <c r="AH98" s="175">
        <v>35.978467551129114</v>
      </c>
      <c r="AI98" s="175">
        <v>10.521532448870886</v>
      </c>
      <c r="AJ98" s="175">
        <v>26.306836488997632</v>
      </c>
      <c r="AK98" s="175">
        <v>7.693163511002369</v>
      </c>
      <c r="AL98" s="175">
        <v>18.569531639292446</v>
      </c>
      <c r="AM98" s="175">
        <v>5.430468360707554</v>
      </c>
      <c r="AN98" s="175">
        <v>10.83222678958726</v>
      </c>
      <c r="AO98" s="175">
        <v>3.16777321041274</v>
      </c>
    </row>
    <row r="99" spans="1:41" ht="15">
      <c r="A99" s="175">
        <v>50</v>
      </c>
      <c r="B99" s="175"/>
      <c r="C99" s="175"/>
      <c r="D99" s="175">
        <v>221.10586077971044</v>
      </c>
      <c r="E99" s="175">
        <v>203.89413922028953</v>
      </c>
      <c r="F99" s="175">
        <v>185.98904759705056</v>
      </c>
      <c r="G99" s="175">
        <v>171.5109524029494</v>
      </c>
      <c r="H99" s="175">
        <v>150.87223441439065</v>
      </c>
      <c r="I99" s="175">
        <v>139.12776558560932</v>
      </c>
      <c r="J99" s="175">
        <v>126.94077654176317</v>
      </c>
      <c r="K99" s="175">
        <v>117.05922345823681</v>
      </c>
      <c r="L99" s="175">
        <v>103.0093186691357</v>
      </c>
      <c r="M99" s="175">
        <v>94.99068133086429</v>
      </c>
      <c r="N99" s="175">
        <v>81.93923075953975</v>
      </c>
      <c r="O99" s="175">
        <v>75.56076924046023</v>
      </c>
      <c r="P99" s="175">
        <v>60.86914284994382</v>
      </c>
      <c r="Q99" s="175">
        <v>56.13085715005617</v>
      </c>
      <c r="R99" s="175">
        <v>56.44702563434961</v>
      </c>
      <c r="S99" s="175">
        <v>52.052974365650385</v>
      </c>
      <c r="T99" s="175">
        <v>52.0249084187554</v>
      </c>
      <c r="U99" s="175">
        <v>47.97509158124459</v>
      </c>
      <c r="V99" s="175">
        <v>45.78191940850475</v>
      </c>
      <c r="W99" s="258">
        <v>42.218080591495244</v>
      </c>
      <c r="X99" s="175">
        <v>39.5389303982541</v>
      </c>
      <c r="Y99" s="175">
        <v>36.46106960174589</v>
      </c>
      <c r="Z99" s="175">
        <v>35.376937724753674</v>
      </c>
      <c r="AA99" s="175">
        <v>32.623062275246326</v>
      </c>
      <c r="AB99" s="175">
        <v>31.21494505125324</v>
      </c>
      <c r="AC99" s="175">
        <v>28.785054948746758</v>
      </c>
      <c r="AD99" s="175">
        <v>26.792827835659033</v>
      </c>
      <c r="AE99" s="175">
        <v>24.707172164340967</v>
      </c>
      <c r="AF99" s="175">
        <v>22.370710620064823</v>
      </c>
      <c r="AG99" s="175">
        <v>20.629289379935177</v>
      </c>
      <c r="AH99" s="175">
        <v>18.20871794656439</v>
      </c>
      <c r="AI99" s="175">
        <v>16.79128205343561</v>
      </c>
      <c r="AJ99" s="175">
        <v>14.046725273063958</v>
      </c>
      <c r="AK99" s="175">
        <v>12.95327472693604</v>
      </c>
      <c r="AL99" s="175">
        <v>10.665106225844857</v>
      </c>
      <c r="AM99" s="175">
        <v>9.834893774155141</v>
      </c>
      <c r="AN99" s="175">
        <v>7.283487178625756</v>
      </c>
      <c r="AO99" s="175">
        <v>6.716512821374243</v>
      </c>
    </row>
    <row r="100" spans="1:41" ht="15">
      <c r="A100" s="175">
        <v>51</v>
      </c>
      <c r="B100" s="175"/>
      <c r="C100" s="175"/>
      <c r="D100" s="175">
        <v>238.26344688882705</v>
      </c>
      <c r="E100" s="175">
        <v>221.73655311117298</v>
      </c>
      <c r="F100" s="175">
        <v>202.26494784801514</v>
      </c>
      <c r="G100" s="175">
        <v>188.2350521519849</v>
      </c>
      <c r="H100" s="175">
        <v>166.26644880720323</v>
      </c>
      <c r="I100" s="175">
        <v>154.7335511927968</v>
      </c>
      <c r="J100" s="175">
        <v>140.36824805841766</v>
      </c>
      <c r="K100" s="175">
        <v>130.63175194158234</v>
      </c>
      <c r="L100" s="175">
        <v>114.47004730963212</v>
      </c>
      <c r="M100" s="175">
        <v>106.52995269036788</v>
      </c>
      <c r="N100" s="175">
        <v>90.90268462823728</v>
      </c>
      <c r="O100" s="175">
        <v>84.59731537176273</v>
      </c>
      <c r="P100" s="175">
        <v>67.33532194684243</v>
      </c>
      <c r="Q100" s="175">
        <v>62.66467805315758</v>
      </c>
      <c r="R100" s="175">
        <v>62.41466380457317</v>
      </c>
      <c r="S100" s="175">
        <v>58.085336195426834</v>
      </c>
      <c r="T100" s="175">
        <v>57.49400566230392</v>
      </c>
      <c r="U100" s="175">
        <v>53.50599433769609</v>
      </c>
      <c r="V100" s="175">
        <v>50.501491460131824</v>
      </c>
      <c r="W100" s="258">
        <v>46.99850853986818</v>
      </c>
      <c r="X100" s="175">
        <v>43.50897725795972</v>
      </c>
      <c r="Y100" s="175">
        <v>40.49102274204028</v>
      </c>
      <c r="Z100" s="175">
        <v>38.58831911569047</v>
      </c>
      <c r="AA100" s="175">
        <v>35.91168088430953</v>
      </c>
      <c r="AB100" s="175">
        <v>33.667660973421214</v>
      </c>
      <c r="AC100" s="175">
        <v>31.33233902657879</v>
      </c>
      <c r="AD100" s="175">
        <v>28.74700283115196</v>
      </c>
      <c r="AE100" s="175">
        <v>26.752997168848044</v>
      </c>
      <c r="AF100" s="175">
        <v>23.826344688882706</v>
      </c>
      <c r="AG100" s="175">
        <v>22.173655311117297</v>
      </c>
      <c r="AH100" s="175">
        <v>18.646704539125594</v>
      </c>
      <c r="AI100" s="175">
        <v>17.353295460874406</v>
      </c>
      <c r="AJ100" s="175">
        <v>13.467064389368485</v>
      </c>
      <c r="AK100" s="175">
        <v>12.532935610631515</v>
      </c>
      <c r="AL100" s="175">
        <v>9.84131628453851</v>
      </c>
      <c r="AM100" s="175">
        <v>9.158683715461493</v>
      </c>
      <c r="AN100" s="175">
        <v>6.215568179708532</v>
      </c>
      <c r="AO100" s="175">
        <v>5.784431820291469</v>
      </c>
    </row>
    <row r="101" spans="1:41" ht="15">
      <c r="A101" s="175">
        <v>52</v>
      </c>
      <c r="B101" s="175"/>
      <c r="C101" s="175"/>
      <c r="D101" s="175">
        <v>76.1819838116262</v>
      </c>
      <c r="E101" s="175">
        <v>196.8180161883738</v>
      </c>
      <c r="F101" s="175">
        <v>63.20593162393163</v>
      </c>
      <c r="G101" s="175">
        <v>163.29406837606837</v>
      </c>
      <c r="H101" s="175">
        <v>50.229879436237056</v>
      </c>
      <c r="I101" s="175">
        <v>129.77012056376293</v>
      </c>
      <c r="J101" s="175">
        <v>42.13728774928775</v>
      </c>
      <c r="K101" s="175">
        <v>108.86271225071225</v>
      </c>
      <c r="L101" s="175">
        <v>34.04469606233845</v>
      </c>
      <c r="M101" s="175">
        <v>87.95530393766155</v>
      </c>
      <c r="N101" s="175">
        <v>27.76596113280882</v>
      </c>
      <c r="O101" s="175">
        <v>71.73403886719119</v>
      </c>
      <c r="P101" s="175">
        <v>21.487226203279185</v>
      </c>
      <c r="Q101" s="175">
        <v>55.512773796720815</v>
      </c>
      <c r="R101" s="175">
        <v>20.23147921737326</v>
      </c>
      <c r="S101" s="175">
        <v>52.268520782626744</v>
      </c>
      <c r="T101" s="175">
        <v>18.975732231467333</v>
      </c>
      <c r="U101" s="175">
        <v>49.02426776853267</v>
      </c>
      <c r="V101" s="175">
        <v>17.161875474047662</v>
      </c>
      <c r="W101" s="258">
        <v>44.33812452595234</v>
      </c>
      <c r="X101" s="175">
        <v>15.34801871662799</v>
      </c>
      <c r="Y101" s="175">
        <v>39.65198128337201</v>
      </c>
      <c r="Z101" s="175">
        <v>13.673689402086755</v>
      </c>
      <c r="AA101" s="175">
        <v>35.32631059791325</v>
      </c>
      <c r="AB101" s="175">
        <v>11.999360087545519</v>
      </c>
      <c r="AC101" s="175">
        <v>31.00063991245448</v>
      </c>
      <c r="AD101" s="175">
        <v>10.46455821588272</v>
      </c>
      <c r="AE101" s="175">
        <v>27.03544178411728</v>
      </c>
      <c r="AF101" s="175">
        <v>8.929756344219921</v>
      </c>
      <c r="AG101" s="175">
        <v>23.07024365578008</v>
      </c>
      <c r="AH101" s="175">
        <v>7.394954472557123</v>
      </c>
      <c r="AI101" s="175">
        <v>19.10504552744288</v>
      </c>
      <c r="AJ101" s="175">
        <v>5.860152600894323</v>
      </c>
      <c r="AK101" s="175">
        <v>15.139847399105676</v>
      </c>
      <c r="AL101" s="175">
        <v>4.464878172109961</v>
      </c>
      <c r="AM101" s="175">
        <v>11.53512182789004</v>
      </c>
      <c r="AN101" s="175">
        <v>3.069603743325598</v>
      </c>
      <c r="AO101" s="175">
        <v>7.930396256674402</v>
      </c>
    </row>
    <row r="102" spans="1:41" ht="15">
      <c r="A102" s="175">
        <v>53</v>
      </c>
      <c r="B102" s="175"/>
      <c r="C102" s="175"/>
      <c r="D102" s="175">
        <v>206.90048291684784</v>
      </c>
      <c r="E102" s="175">
        <v>189.09951708315216</v>
      </c>
      <c r="F102" s="175">
        <v>170.32716522952623</v>
      </c>
      <c r="G102" s="175">
        <v>155.67283477047374</v>
      </c>
      <c r="H102" s="175">
        <v>133.75384754220465</v>
      </c>
      <c r="I102" s="175">
        <v>122.24615245779533</v>
      </c>
      <c r="J102" s="175">
        <v>112.07109491329257</v>
      </c>
      <c r="K102" s="175">
        <v>102.42890508670742</v>
      </c>
      <c r="L102" s="175">
        <v>90.38834228438049</v>
      </c>
      <c r="M102" s="175">
        <v>82.6116577156195</v>
      </c>
      <c r="N102" s="175">
        <v>74.19158730856664</v>
      </c>
      <c r="O102" s="175">
        <v>67.80841269143335</v>
      </c>
      <c r="P102" s="175">
        <v>57.9948323327528</v>
      </c>
      <c r="Q102" s="175">
        <v>53.00516766724719</v>
      </c>
      <c r="R102" s="175">
        <v>54.85997653098238</v>
      </c>
      <c r="S102" s="175">
        <v>50.14002346901761</v>
      </c>
      <c r="T102" s="175">
        <v>51.72512072921196</v>
      </c>
      <c r="U102" s="175">
        <v>47.27487927078804</v>
      </c>
      <c r="V102" s="175">
        <v>45.977885092632846</v>
      </c>
      <c r="W102" s="258">
        <v>42.02211490736715</v>
      </c>
      <c r="X102" s="175">
        <v>40.23064945605374</v>
      </c>
      <c r="Y102" s="175">
        <v>36.76935054394625</v>
      </c>
      <c r="Z102" s="175">
        <v>35.52836575339811</v>
      </c>
      <c r="AA102" s="175">
        <v>32.47163424660189</v>
      </c>
      <c r="AB102" s="175">
        <v>30.826082050742478</v>
      </c>
      <c r="AC102" s="175">
        <v>28.17391794925752</v>
      </c>
      <c r="AD102" s="175">
        <v>25.86256036460598</v>
      </c>
      <c r="AE102" s="175">
        <v>23.63743963539402</v>
      </c>
      <c r="AF102" s="175">
        <v>20.899038678469477</v>
      </c>
      <c r="AG102" s="175">
        <v>19.10096132153052</v>
      </c>
      <c r="AH102" s="175">
        <v>16.196754975813846</v>
      </c>
      <c r="AI102" s="175">
        <v>14.803245024186154</v>
      </c>
      <c r="AJ102" s="175">
        <v>11.494471273158211</v>
      </c>
      <c r="AK102" s="175">
        <v>10.505528726841787</v>
      </c>
      <c r="AL102" s="175">
        <v>7.8371395044260534</v>
      </c>
      <c r="AM102" s="175">
        <v>7.162860495573946</v>
      </c>
      <c r="AN102" s="175">
        <v>4.179807735693895</v>
      </c>
      <c r="AO102" s="175">
        <v>3.820192264306104</v>
      </c>
    </row>
    <row r="103" spans="1:41" ht="15">
      <c r="A103" s="175">
        <v>54</v>
      </c>
      <c r="B103" s="175"/>
      <c r="C103" s="175"/>
      <c r="D103" s="175">
        <v>80.16702586006407</v>
      </c>
      <c r="E103" s="175">
        <v>167.8329741399359</v>
      </c>
      <c r="F103" s="175">
        <v>64.48920023823703</v>
      </c>
      <c r="G103" s="175">
        <v>135.01079976176297</v>
      </c>
      <c r="H103" s="175">
        <v>48.811374616409985</v>
      </c>
      <c r="I103" s="175">
        <v>102.18862538359002</v>
      </c>
      <c r="J103" s="175">
        <v>40.406767066564555</v>
      </c>
      <c r="K103" s="175">
        <v>84.59323293343544</v>
      </c>
      <c r="L103" s="175">
        <v>32.002159516719125</v>
      </c>
      <c r="M103" s="175">
        <v>66.99784048328087</v>
      </c>
      <c r="N103" s="175">
        <v>26.830093332198864</v>
      </c>
      <c r="O103" s="175">
        <v>56.169906667801136</v>
      </c>
      <c r="P103" s="175">
        <v>21.658027147678602</v>
      </c>
      <c r="Q103" s="175">
        <v>45.3419728523214</v>
      </c>
      <c r="R103" s="175">
        <v>20.688264738081052</v>
      </c>
      <c r="S103" s="175">
        <v>43.31173526191895</v>
      </c>
      <c r="T103" s="175">
        <v>19.718502328483503</v>
      </c>
      <c r="U103" s="175">
        <v>41.2814976715165</v>
      </c>
      <c r="V103" s="175">
        <v>17.940604577554662</v>
      </c>
      <c r="W103" s="258">
        <v>37.559395422445334</v>
      </c>
      <c r="X103" s="175">
        <v>16.162706826625822</v>
      </c>
      <c r="Y103" s="175">
        <v>33.83729317337418</v>
      </c>
      <c r="Z103" s="175">
        <v>14.384809075696982</v>
      </c>
      <c r="AA103" s="175">
        <v>30.11519092430302</v>
      </c>
      <c r="AB103" s="175">
        <v>12.606911324768141</v>
      </c>
      <c r="AC103" s="175">
        <v>26.39308867523186</v>
      </c>
      <c r="AD103" s="175">
        <v>10.829013573839301</v>
      </c>
      <c r="AE103" s="175">
        <v>22.6709864261607</v>
      </c>
      <c r="AF103" s="175">
        <v>9.051115822910461</v>
      </c>
      <c r="AG103" s="175">
        <v>18.94888417708954</v>
      </c>
      <c r="AH103" s="175">
        <v>7.111591003715362</v>
      </c>
      <c r="AI103" s="175">
        <v>14.888408996284639</v>
      </c>
      <c r="AJ103" s="175">
        <v>5.172066184520263</v>
      </c>
      <c r="AK103" s="175">
        <v>10.827933815479737</v>
      </c>
      <c r="AL103" s="175">
        <v>3.8790496383901973</v>
      </c>
      <c r="AM103" s="175">
        <v>8.120950361609802</v>
      </c>
      <c r="AN103" s="175">
        <v>2.5860330922601316</v>
      </c>
      <c r="AO103" s="175">
        <v>5.413966907739868</v>
      </c>
    </row>
    <row r="104" spans="1:41" ht="15">
      <c r="A104" s="175">
        <v>55</v>
      </c>
      <c r="B104" s="175"/>
      <c r="C104" s="175"/>
      <c r="D104" s="175">
        <v>233.19029983962363</v>
      </c>
      <c r="E104" s="175">
        <v>88.80970016037635</v>
      </c>
      <c r="F104" s="175">
        <v>187.92820747944825</v>
      </c>
      <c r="G104" s="175">
        <v>71.57179252055175</v>
      </c>
      <c r="H104" s="175">
        <v>142.66611511927283</v>
      </c>
      <c r="I104" s="175">
        <v>54.33388488072715</v>
      </c>
      <c r="J104" s="175">
        <v>117.68144013645602</v>
      </c>
      <c r="K104" s="175">
        <v>44.81855986354397</v>
      </c>
      <c r="L104" s="175">
        <v>92.6967651536392</v>
      </c>
      <c r="M104" s="175">
        <v>35.30323484636079</v>
      </c>
      <c r="N104" s="175">
        <v>75.31612168733186</v>
      </c>
      <c r="O104" s="175">
        <v>28.68387831266814</v>
      </c>
      <c r="P104" s="175">
        <v>57.9354782210245</v>
      </c>
      <c r="Q104" s="175">
        <v>22.064521778975493</v>
      </c>
      <c r="R104" s="175">
        <v>54.67660757109188</v>
      </c>
      <c r="S104" s="175">
        <v>20.82339242890812</v>
      </c>
      <c r="T104" s="175">
        <v>51.417736921159246</v>
      </c>
      <c r="U104" s="175">
        <v>19.58226307884075</v>
      </c>
      <c r="V104" s="175">
        <v>45.6241890990568</v>
      </c>
      <c r="W104" s="258">
        <v>17.3758109009432</v>
      </c>
      <c r="X104" s="175">
        <v>39.830641276954346</v>
      </c>
      <c r="Y104" s="175">
        <v>15.16935872304565</v>
      </c>
      <c r="Z104" s="175">
        <v>35.12338367149611</v>
      </c>
      <c r="AA104" s="175">
        <v>13.376616328503893</v>
      </c>
      <c r="AB104" s="175">
        <v>30.416126066037865</v>
      </c>
      <c r="AC104" s="175">
        <v>11.583873933962133</v>
      </c>
      <c r="AD104" s="175">
        <v>25.34677172169822</v>
      </c>
      <c r="AE104" s="175">
        <v>9.653228278301778</v>
      </c>
      <c r="AF104" s="175">
        <v>20.277417377358574</v>
      </c>
      <c r="AG104" s="175">
        <v>7.722582622641422</v>
      </c>
      <c r="AH104" s="175">
        <v>15.570159771900336</v>
      </c>
      <c r="AI104" s="175">
        <v>5.929840228099663</v>
      </c>
      <c r="AJ104" s="175">
        <v>10.862902166442094</v>
      </c>
      <c r="AK104" s="175">
        <v>4.137097833557905</v>
      </c>
      <c r="AL104" s="175">
        <v>6.87983803874666</v>
      </c>
      <c r="AM104" s="175">
        <v>2.6201619612533396</v>
      </c>
      <c r="AN104" s="175">
        <v>2.896773911051225</v>
      </c>
      <c r="AO104" s="175">
        <v>1.1032260889487746</v>
      </c>
    </row>
    <row r="105" spans="1:41" ht="15">
      <c r="A105" s="175">
        <v>56</v>
      </c>
      <c r="B105" s="175"/>
      <c r="C105" s="175"/>
      <c r="D105" s="175">
        <v>109.65123373224311</v>
      </c>
      <c r="E105" s="175">
        <v>108.3487662677569</v>
      </c>
      <c r="F105" s="175">
        <v>85.00485550802333</v>
      </c>
      <c r="G105" s="175">
        <v>83.99514449197667</v>
      </c>
      <c r="H105" s="175">
        <v>60.358477283803545</v>
      </c>
      <c r="I105" s="175">
        <v>59.64152271619646</v>
      </c>
      <c r="J105" s="175">
        <v>50.298731069836286</v>
      </c>
      <c r="K105" s="175">
        <v>49.701268930163714</v>
      </c>
      <c r="L105" s="175">
        <v>40.238984855869035</v>
      </c>
      <c r="M105" s="175">
        <v>39.76101514413097</v>
      </c>
      <c r="N105" s="175">
        <v>34.45463078283786</v>
      </c>
      <c r="O105" s="175">
        <v>34.04536921716215</v>
      </c>
      <c r="P105" s="175">
        <v>28.670276709806686</v>
      </c>
      <c r="Q105" s="175">
        <v>28.329723290193318</v>
      </c>
      <c r="R105" s="175">
        <v>27.161314777711596</v>
      </c>
      <c r="S105" s="175">
        <v>26.838685222288408</v>
      </c>
      <c r="T105" s="175">
        <v>25.65235284561651</v>
      </c>
      <c r="U105" s="175">
        <v>25.347647154383495</v>
      </c>
      <c r="V105" s="175">
        <v>22.38293532607715</v>
      </c>
      <c r="W105" s="258">
        <v>22.117064673922854</v>
      </c>
      <c r="X105" s="175">
        <v>19.11351780653779</v>
      </c>
      <c r="Y105" s="175">
        <v>18.88648219346221</v>
      </c>
      <c r="Z105" s="175">
        <v>17.101568563744337</v>
      </c>
      <c r="AA105" s="175">
        <v>16.898431436255663</v>
      </c>
      <c r="AB105" s="175">
        <v>15.089619320950886</v>
      </c>
      <c r="AC105" s="175">
        <v>14.910380679049116</v>
      </c>
      <c r="AD105" s="175">
        <v>12.826176422808254</v>
      </c>
      <c r="AE105" s="175">
        <v>12.673823577191747</v>
      </c>
      <c r="AF105" s="175">
        <v>10.56273352466562</v>
      </c>
      <c r="AG105" s="175">
        <v>10.437266475334381</v>
      </c>
      <c r="AH105" s="175">
        <v>8.299290626522987</v>
      </c>
      <c r="AI105" s="175">
        <v>8.200709373477013</v>
      </c>
      <c r="AJ105" s="175">
        <v>6.035847728380355</v>
      </c>
      <c r="AK105" s="175">
        <v>5.964152271619646</v>
      </c>
      <c r="AL105" s="175">
        <v>4.526885796285266</v>
      </c>
      <c r="AM105" s="175">
        <v>4.473114203714735</v>
      </c>
      <c r="AN105" s="175">
        <v>3.0179238641901773</v>
      </c>
      <c r="AO105" s="175">
        <v>2.982076135809823</v>
      </c>
    </row>
    <row r="106" spans="1:41" ht="15">
      <c r="A106" s="175">
        <v>57</v>
      </c>
      <c r="B106" s="175"/>
      <c r="C106" s="175"/>
      <c r="D106" s="175">
        <v>407.28353432283666</v>
      </c>
      <c r="E106" s="175">
        <v>114.71646567716331</v>
      </c>
      <c r="F106" s="175">
        <v>339.793063596926</v>
      </c>
      <c r="G106" s="175">
        <v>95.706936403074</v>
      </c>
      <c r="H106" s="175">
        <v>272.30259287101535</v>
      </c>
      <c r="I106" s="175">
        <v>76.69740712898466</v>
      </c>
      <c r="J106" s="175">
        <v>230.95005011409896</v>
      </c>
      <c r="K106" s="175">
        <v>65.04994988590104</v>
      </c>
      <c r="L106" s="175">
        <v>189.5975073571826</v>
      </c>
      <c r="M106" s="175">
        <v>53.40249264281741</v>
      </c>
      <c r="N106" s="175">
        <v>154.87697617448868</v>
      </c>
      <c r="O106" s="175">
        <v>43.62302382551134</v>
      </c>
      <c r="P106" s="175">
        <v>120.15644499179473</v>
      </c>
      <c r="Q106" s="175">
        <v>33.84355500820527</v>
      </c>
      <c r="R106" s="175">
        <v>111.96396010599054</v>
      </c>
      <c r="S106" s="175">
        <v>31.536039894009456</v>
      </c>
      <c r="T106" s="175">
        <v>103.77147522018636</v>
      </c>
      <c r="U106" s="175">
        <v>29.228524779813643</v>
      </c>
      <c r="V106" s="175">
        <v>90.89757039963692</v>
      </c>
      <c r="W106" s="258">
        <v>25.602429600363077</v>
      </c>
      <c r="X106" s="175">
        <v>78.02366557908749</v>
      </c>
      <c r="Y106" s="175">
        <v>21.976334420912515</v>
      </c>
      <c r="Z106" s="175">
        <v>68.27070738170156</v>
      </c>
      <c r="AA106" s="175">
        <v>19.229292618298448</v>
      </c>
      <c r="AB106" s="175">
        <v>58.51774918431561</v>
      </c>
      <c r="AC106" s="175">
        <v>16.482250815684385</v>
      </c>
      <c r="AD106" s="175">
        <v>49.15490931482512</v>
      </c>
      <c r="AE106" s="175">
        <v>13.845090685174883</v>
      </c>
      <c r="AF106" s="175">
        <v>39.79206944533462</v>
      </c>
      <c r="AG106" s="175">
        <v>11.207930554665381</v>
      </c>
      <c r="AH106" s="175">
        <v>30.81934790373956</v>
      </c>
      <c r="AI106" s="175">
        <v>8.680652096260443</v>
      </c>
      <c r="AJ106" s="175">
        <v>21.846626362144498</v>
      </c>
      <c r="AK106" s="175">
        <v>6.153373637855504</v>
      </c>
      <c r="AL106" s="175">
        <v>14.434378132131185</v>
      </c>
      <c r="AM106" s="175">
        <v>4.065621867868815</v>
      </c>
      <c r="AN106" s="175">
        <v>7.022129902117873</v>
      </c>
      <c r="AO106" s="175">
        <v>1.9778700978821262</v>
      </c>
    </row>
    <row r="107" spans="1:41" ht="15">
      <c r="A107" s="175">
        <v>58</v>
      </c>
      <c r="B107" s="175"/>
      <c r="C107" s="175"/>
      <c r="D107" s="175">
        <v>368.42555247548444</v>
      </c>
      <c r="E107" s="175">
        <v>57.57444752451557</v>
      </c>
      <c r="F107" s="175">
        <v>297.07553351016173</v>
      </c>
      <c r="G107" s="175">
        <v>46.42446648983826</v>
      </c>
      <c r="H107" s="175">
        <v>225.72551454483906</v>
      </c>
      <c r="I107" s="175">
        <v>35.27448545516095</v>
      </c>
      <c r="J107" s="175">
        <v>186.37489802457017</v>
      </c>
      <c r="K107" s="175">
        <v>29.125101975429825</v>
      </c>
      <c r="L107" s="175">
        <v>147.02428150430129</v>
      </c>
      <c r="M107" s="175">
        <v>22.975718495698704</v>
      </c>
      <c r="N107" s="175">
        <v>119.78154699026899</v>
      </c>
      <c r="O107" s="175">
        <v>18.718453009731</v>
      </c>
      <c r="P107" s="175">
        <v>92.5388124762367</v>
      </c>
      <c r="Q107" s="175">
        <v>14.4611875237633</v>
      </c>
      <c r="R107" s="175">
        <v>87.78214454521519</v>
      </c>
      <c r="S107" s="175">
        <v>13.717855454784813</v>
      </c>
      <c r="T107" s="175">
        <v>83.02547661419368</v>
      </c>
      <c r="U107" s="175">
        <v>12.974523385806325</v>
      </c>
      <c r="V107" s="175">
        <v>73.94456510951623</v>
      </c>
      <c r="W107" s="258">
        <v>11.55543489048376</v>
      </c>
      <c r="X107" s="175">
        <v>64.8636536048388</v>
      </c>
      <c r="Y107" s="175">
        <v>10.136346395161192</v>
      </c>
      <c r="Z107" s="175">
        <v>56.21516645752696</v>
      </c>
      <c r="AA107" s="175">
        <v>8.784833542473033</v>
      </c>
      <c r="AB107" s="175">
        <v>47.56667931021512</v>
      </c>
      <c r="AC107" s="175">
        <v>7.433320689784875</v>
      </c>
      <c r="AD107" s="175">
        <v>39.78304087763447</v>
      </c>
      <c r="AE107" s="175">
        <v>6.216959122365531</v>
      </c>
      <c r="AF107" s="175">
        <v>31.99940244505381</v>
      </c>
      <c r="AG107" s="175">
        <v>5.0005975549461885</v>
      </c>
      <c r="AH107" s="175">
        <v>24.648188369838746</v>
      </c>
      <c r="AI107" s="175">
        <v>3.851811630161253</v>
      </c>
      <c r="AJ107" s="175">
        <v>17.29697429462368</v>
      </c>
      <c r="AK107" s="175">
        <v>2.703025705376318</v>
      </c>
      <c r="AL107" s="175">
        <v>10.37818457677421</v>
      </c>
      <c r="AM107" s="175">
        <v>1.6218154232257906</v>
      </c>
      <c r="AN107" s="175">
        <v>3.4593948589247363</v>
      </c>
      <c r="AO107" s="175">
        <v>0.5406051410752636</v>
      </c>
    </row>
    <row r="108" spans="1:41" ht="15">
      <c r="A108" s="175">
        <v>59</v>
      </c>
      <c r="B108" s="175"/>
      <c r="C108" s="175"/>
      <c r="D108" s="175">
        <v>906.3314184832349</v>
      </c>
      <c r="E108" s="175">
        <v>69.66858151676517</v>
      </c>
      <c r="F108" s="175">
        <v>777.7177899382266</v>
      </c>
      <c r="G108" s="175">
        <v>59.78221006177339</v>
      </c>
      <c r="H108" s="175">
        <v>649.1041613932184</v>
      </c>
      <c r="I108" s="175">
        <v>49.89583860678161</v>
      </c>
      <c r="J108" s="175">
        <v>562.2783543971298</v>
      </c>
      <c r="K108" s="175">
        <v>43.2216456028702</v>
      </c>
      <c r="L108" s="175">
        <v>475.4525474010412</v>
      </c>
      <c r="M108" s="175">
        <v>36.54745259895878</v>
      </c>
      <c r="N108" s="175">
        <v>394.1984499448086</v>
      </c>
      <c r="O108" s="175">
        <v>30.30155005519141</v>
      </c>
      <c r="P108" s="175">
        <v>312.94435248857593</v>
      </c>
      <c r="Q108" s="175">
        <v>24.055647511424038</v>
      </c>
      <c r="R108" s="175">
        <v>293.90767822740145</v>
      </c>
      <c r="S108" s="175">
        <v>22.59232177259854</v>
      </c>
      <c r="T108" s="175">
        <v>274.87100396622697</v>
      </c>
      <c r="U108" s="175">
        <v>21.128996033773042</v>
      </c>
      <c r="V108" s="175">
        <v>242.83367411205523</v>
      </c>
      <c r="W108" s="258">
        <v>18.666325887944765</v>
      </c>
      <c r="X108" s="175">
        <v>210.7963442578835</v>
      </c>
      <c r="Y108" s="175">
        <v>16.20365574211649</v>
      </c>
      <c r="Z108" s="175">
        <v>188.5095060984597</v>
      </c>
      <c r="AA108" s="175">
        <v>14.490493901540297</v>
      </c>
      <c r="AB108" s="175">
        <v>166.2226679390359</v>
      </c>
      <c r="AC108" s="175">
        <v>12.777332060964104</v>
      </c>
      <c r="AD108" s="175">
        <v>145.32875716457607</v>
      </c>
      <c r="AE108" s="175">
        <v>11.171242835423923</v>
      </c>
      <c r="AF108" s="175">
        <v>124.43484639011625</v>
      </c>
      <c r="AG108" s="175">
        <v>9.565153609883742</v>
      </c>
      <c r="AH108" s="175">
        <v>104.93386300062042</v>
      </c>
      <c r="AI108" s="175">
        <v>8.066136999379573</v>
      </c>
      <c r="AJ108" s="175">
        <v>85.43287961112459</v>
      </c>
      <c r="AK108" s="175">
        <v>6.567120388875406</v>
      </c>
      <c r="AL108" s="175">
        <v>69.18206011987807</v>
      </c>
      <c r="AM108" s="175">
        <v>5.317939880121932</v>
      </c>
      <c r="AN108" s="175">
        <v>52.93124062863154</v>
      </c>
      <c r="AO108" s="175">
        <v>4.068759371368458</v>
      </c>
    </row>
    <row r="109" spans="1:41" ht="15">
      <c r="A109" s="175">
        <v>60</v>
      </c>
      <c r="B109" s="175"/>
      <c r="C109" s="175"/>
      <c r="D109" s="175">
        <v>522.69949214987</v>
      </c>
      <c r="E109" s="175">
        <v>105.30050785012995</v>
      </c>
      <c r="F109" s="175">
        <v>429.89536257230554</v>
      </c>
      <c r="G109" s="175">
        <v>86.60463742769446</v>
      </c>
      <c r="H109" s="175">
        <v>337.091232994741</v>
      </c>
      <c r="I109" s="175">
        <v>67.90876700525897</v>
      </c>
      <c r="J109" s="175">
        <v>284.6548189733369</v>
      </c>
      <c r="K109" s="175">
        <v>57.34518102666312</v>
      </c>
      <c r="L109" s="175">
        <v>232.2184049519327</v>
      </c>
      <c r="M109" s="175">
        <v>46.78159504806728</v>
      </c>
      <c r="N109" s="175">
        <v>193.51533745994394</v>
      </c>
      <c r="O109" s="175">
        <v>38.98466254005607</v>
      </c>
      <c r="P109" s="175">
        <v>154.81226996795513</v>
      </c>
      <c r="Q109" s="175">
        <v>31.187730032044854</v>
      </c>
      <c r="R109" s="175">
        <v>146.90519166314022</v>
      </c>
      <c r="S109" s="175">
        <v>29.594808336859767</v>
      </c>
      <c r="T109" s="175">
        <v>138.99811335832533</v>
      </c>
      <c r="U109" s="175">
        <v>28.001886641674684</v>
      </c>
      <c r="V109" s="175">
        <v>124.01628078078127</v>
      </c>
      <c r="W109" s="258">
        <v>24.983719219218727</v>
      </c>
      <c r="X109" s="175">
        <v>109.03444820323722</v>
      </c>
      <c r="Y109" s="175">
        <v>21.965551796762774</v>
      </c>
      <c r="Z109" s="175">
        <v>95.71726368986474</v>
      </c>
      <c r="AA109" s="175">
        <v>19.28273631013526</v>
      </c>
      <c r="AB109" s="175">
        <v>82.40007917649226</v>
      </c>
      <c r="AC109" s="175">
        <v>16.599920823507745</v>
      </c>
      <c r="AD109" s="175">
        <v>69.91521869520555</v>
      </c>
      <c r="AE109" s="175">
        <v>14.08478130479445</v>
      </c>
      <c r="AF109" s="175">
        <v>57.43035821391884</v>
      </c>
      <c r="AG109" s="175">
        <v>11.569641786081156</v>
      </c>
      <c r="AH109" s="175">
        <v>45.77782176471792</v>
      </c>
      <c r="AI109" s="175">
        <v>9.222178235282081</v>
      </c>
      <c r="AJ109" s="175">
        <v>34.12528531551699</v>
      </c>
      <c r="AK109" s="175">
        <v>6.874714684483005</v>
      </c>
      <c r="AL109" s="175">
        <v>24.13739693048763</v>
      </c>
      <c r="AM109" s="175">
        <v>4.86260306951237</v>
      </c>
      <c r="AN109" s="175">
        <v>14.149508545458266</v>
      </c>
      <c r="AO109" s="175">
        <v>2.850491454541734</v>
      </c>
    </row>
    <row r="110" spans="1:41" ht="15">
      <c r="A110" s="175">
        <v>61</v>
      </c>
      <c r="B110" s="175"/>
      <c r="C110" s="175"/>
      <c r="D110" s="175">
        <v>632.192142568641</v>
      </c>
      <c r="E110" s="175">
        <v>62.80785743135901</v>
      </c>
      <c r="F110" s="175">
        <v>525.7655516614021</v>
      </c>
      <c r="G110" s="175">
        <v>52.23444833859785</v>
      </c>
      <c r="H110" s="175">
        <v>419.3389607541633</v>
      </c>
      <c r="I110" s="175">
        <v>41.6610392458367</v>
      </c>
      <c r="J110" s="175">
        <v>354.75530302412943</v>
      </c>
      <c r="K110" s="175">
        <v>35.244696975870525</v>
      </c>
      <c r="L110" s="175">
        <v>290.17164529409564</v>
      </c>
      <c r="M110" s="175">
        <v>28.828354705904353</v>
      </c>
      <c r="N110" s="175">
        <v>238.32279331364595</v>
      </c>
      <c r="O110" s="175">
        <v>23.677206686354044</v>
      </c>
      <c r="P110" s="175">
        <v>186.47394133319625</v>
      </c>
      <c r="Q110" s="175">
        <v>18.52605866680374</v>
      </c>
      <c r="R110" s="175">
        <v>175.10357905678185</v>
      </c>
      <c r="S110" s="175">
        <v>17.396420943218143</v>
      </c>
      <c r="T110" s="175">
        <v>163.73321678036746</v>
      </c>
      <c r="U110" s="175">
        <v>16.26678321963255</v>
      </c>
      <c r="V110" s="175">
        <v>145.5406371381044</v>
      </c>
      <c r="W110" s="258">
        <v>14.459362861895599</v>
      </c>
      <c r="X110" s="175">
        <v>127.34805749584135</v>
      </c>
      <c r="Y110" s="175">
        <v>12.651942504158649</v>
      </c>
      <c r="Z110" s="175">
        <v>111.88436479991775</v>
      </c>
      <c r="AA110" s="175">
        <v>11.115635200082242</v>
      </c>
      <c r="AB110" s="175">
        <v>96.42067210399416</v>
      </c>
      <c r="AC110" s="175">
        <v>9.579327896005834</v>
      </c>
      <c r="AD110" s="175">
        <v>81.41179389912715</v>
      </c>
      <c r="AE110" s="175">
        <v>8.088206100872851</v>
      </c>
      <c r="AF110" s="175">
        <v>66.40291569426013</v>
      </c>
      <c r="AG110" s="175">
        <v>6.597084305739867</v>
      </c>
      <c r="AH110" s="175">
        <v>51.84885198044969</v>
      </c>
      <c r="AI110" s="175">
        <v>5.151148019550307</v>
      </c>
      <c r="AJ110" s="175">
        <v>37.29478826663925</v>
      </c>
      <c r="AK110" s="175">
        <v>3.7052117333607475</v>
      </c>
      <c r="AL110" s="175">
        <v>25.46961149916827</v>
      </c>
      <c r="AM110" s="175">
        <v>2.5303885008317297</v>
      </c>
      <c r="AN110" s="175">
        <v>13.644434731697286</v>
      </c>
      <c r="AO110" s="175">
        <v>1.3555652683027124</v>
      </c>
    </row>
    <row r="111" spans="1:41" ht="15">
      <c r="A111" s="175">
        <v>62</v>
      </c>
      <c r="B111" s="175"/>
      <c r="C111" s="175"/>
      <c r="D111" s="175">
        <v>444.905539284226</v>
      </c>
      <c r="E111" s="175">
        <v>103.094460715774</v>
      </c>
      <c r="F111" s="175">
        <v>373.8667898547191</v>
      </c>
      <c r="G111" s="175">
        <v>86.6332101452809</v>
      </c>
      <c r="H111" s="175">
        <v>302.82804042521224</v>
      </c>
      <c r="I111" s="175">
        <v>70.17195957478778</v>
      </c>
      <c r="J111" s="175">
        <v>257.76917650135357</v>
      </c>
      <c r="K111" s="175">
        <v>59.73082349864644</v>
      </c>
      <c r="L111" s="175">
        <v>212.7103125774949</v>
      </c>
      <c r="M111" s="175">
        <v>49.28968742250509</v>
      </c>
      <c r="N111" s="175">
        <v>174.14642003004832</v>
      </c>
      <c r="O111" s="175">
        <v>40.35357996995169</v>
      </c>
      <c r="P111" s="175">
        <v>135.58252748260173</v>
      </c>
      <c r="Q111" s="175">
        <v>31.417472517398284</v>
      </c>
      <c r="R111" s="175">
        <v>127.0578775510609</v>
      </c>
      <c r="S111" s="175">
        <v>29.44212244893911</v>
      </c>
      <c r="T111" s="175">
        <v>118.53322761952006</v>
      </c>
      <c r="U111" s="175">
        <v>27.466772380479938</v>
      </c>
      <c r="V111" s="175">
        <v>104.73141344464445</v>
      </c>
      <c r="W111" s="258">
        <v>24.26858655535556</v>
      </c>
      <c r="X111" s="175">
        <v>90.92959926976881</v>
      </c>
      <c r="Y111" s="175">
        <v>21.070400730231185</v>
      </c>
      <c r="Z111" s="175">
        <v>79.96933507207346</v>
      </c>
      <c r="AA111" s="175">
        <v>18.530664927926534</v>
      </c>
      <c r="AB111" s="175">
        <v>69.00907087437812</v>
      </c>
      <c r="AC111" s="175">
        <v>15.99092912562188</v>
      </c>
      <c r="AD111" s="175">
        <v>58.45474238770853</v>
      </c>
      <c r="AE111" s="175">
        <v>13.545257612291476</v>
      </c>
      <c r="AF111" s="175">
        <v>47.90041390103893</v>
      </c>
      <c r="AG111" s="175">
        <v>11.09958609896107</v>
      </c>
      <c r="AH111" s="175">
        <v>37.75202112539509</v>
      </c>
      <c r="AI111" s="175">
        <v>8.747978874604911</v>
      </c>
      <c r="AJ111" s="175">
        <v>27.603628349751247</v>
      </c>
      <c r="AK111" s="175">
        <v>6.396371650248753</v>
      </c>
      <c r="AL111" s="175">
        <v>19.078978418210422</v>
      </c>
      <c r="AM111" s="175">
        <v>4.421021581789579</v>
      </c>
      <c r="AN111" s="175">
        <v>10.554328486669595</v>
      </c>
      <c r="AO111" s="175">
        <v>2.4456715133304052</v>
      </c>
    </row>
    <row r="112" spans="1:41" ht="15">
      <c r="A112" s="175">
        <v>63</v>
      </c>
      <c r="B112" s="175"/>
      <c r="C112" s="175"/>
      <c r="D112" s="175">
        <v>634.5355447732268</v>
      </c>
      <c r="E112" s="175">
        <v>53.46445522677319</v>
      </c>
      <c r="F112" s="175">
        <v>516.9435651822581</v>
      </c>
      <c r="G112" s="175">
        <v>43.55643481774182</v>
      </c>
      <c r="H112" s="175">
        <v>399.3515855912895</v>
      </c>
      <c r="I112" s="175">
        <v>33.64841440871045</v>
      </c>
      <c r="J112" s="175">
        <v>336.17471812476913</v>
      </c>
      <c r="K112" s="175">
        <v>28.325281875230854</v>
      </c>
      <c r="L112" s="175">
        <v>272.99785065824875</v>
      </c>
      <c r="M112" s="175">
        <v>23.002149341751256</v>
      </c>
      <c r="N112" s="175">
        <v>230.11136398389547</v>
      </c>
      <c r="O112" s="175">
        <v>19.38863601610452</v>
      </c>
      <c r="P112" s="175">
        <v>187.2248773095422</v>
      </c>
      <c r="Q112" s="175">
        <v>15.775122690457787</v>
      </c>
      <c r="R112" s="175">
        <v>178.46312196747004</v>
      </c>
      <c r="S112" s="175">
        <v>15.036878032529959</v>
      </c>
      <c r="T112" s="175">
        <v>169.70136662539787</v>
      </c>
      <c r="U112" s="175">
        <v>14.298633374602131</v>
      </c>
      <c r="V112" s="175">
        <v>152.63900095925732</v>
      </c>
      <c r="W112" s="258">
        <v>12.860999040742678</v>
      </c>
      <c r="X112" s="175">
        <v>135.57663529311677</v>
      </c>
      <c r="Y112" s="175">
        <v>11.423364706883225</v>
      </c>
      <c r="Z112" s="175">
        <v>119.43655966298383</v>
      </c>
      <c r="AA112" s="175">
        <v>10.063440337016175</v>
      </c>
      <c r="AB112" s="175">
        <v>103.29648403285087</v>
      </c>
      <c r="AC112" s="175">
        <v>8.703515967149123</v>
      </c>
      <c r="AD112" s="175">
        <v>87.61755342072172</v>
      </c>
      <c r="AE112" s="175">
        <v>7.382446579278274</v>
      </c>
      <c r="AF112" s="175">
        <v>71.93862280859257</v>
      </c>
      <c r="AG112" s="175">
        <v>6.061377191407425</v>
      </c>
      <c r="AH112" s="175">
        <v>56.72083721446722</v>
      </c>
      <c r="AI112" s="175">
        <v>4.779162785532778</v>
      </c>
      <c r="AJ112" s="175">
        <v>41.50305162034187</v>
      </c>
      <c r="AK112" s="175">
        <v>3.49694837965813</v>
      </c>
      <c r="AL112" s="175">
        <v>29.513281152243106</v>
      </c>
      <c r="AM112" s="175">
        <v>2.4867188477568924</v>
      </c>
      <c r="AN112" s="175">
        <v>17.523510684144345</v>
      </c>
      <c r="AO112" s="175">
        <v>1.476489315855655</v>
      </c>
    </row>
    <row r="113" spans="1:41" ht="15">
      <c r="A113" s="175">
        <v>64</v>
      </c>
      <c r="B113" s="175"/>
      <c r="C113" s="175"/>
      <c r="D113" s="175">
        <v>520.251313445138</v>
      </c>
      <c r="E113" s="175">
        <v>49.74868655486201</v>
      </c>
      <c r="F113" s="175">
        <v>443.1263380309026</v>
      </c>
      <c r="G113" s="175">
        <v>42.373661969097384</v>
      </c>
      <c r="H113" s="175">
        <v>366.0013626166672</v>
      </c>
      <c r="I113" s="175">
        <v>34.99863738333275</v>
      </c>
      <c r="J113" s="175">
        <v>313.0635096696181</v>
      </c>
      <c r="K113" s="175">
        <v>29.93649033038188</v>
      </c>
      <c r="L113" s="175">
        <v>260.125656722569</v>
      </c>
      <c r="M113" s="175">
        <v>24.874343277431006</v>
      </c>
      <c r="N113" s="175">
        <v>211.7514117881965</v>
      </c>
      <c r="O113" s="175">
        <v>20.248588211803487</v>
      </c>
      <c r="P113" s="175">
        <v>163.37716685382404</v>
      </c>
      <c r="Q113" s="175">
        <v>15.622833146175966</v>
      </c>
      <c r="R113" s="175">
        <v>152.42450762340007</v>
      </c>
      <c r="S113" s="175">
        <v>14.575492376599923</v>
      </c>
      <c r="T113" s="175">
        <v>141.4718483929761</v>
      </c>
      <c r="U113" s="175">
        <v>13.528151607023881</v>
      </c>
      <c r="V113" s="175">
        <v>123.67377714353718</v>
      </c>
      <c r="W113" s="258">
        <v>11.826222856462811</v>
      </c>
      <c r="X113" s="175">
        <v>105.87570589409825</v>
      </c>
      <c r="Y113" s="175">
        <v>10.124294105901743</v>
      </c>
      <c r="Z113" s="175">
        <v>93.09760345860363</v>
      </c>
      <c r="AA113" s="175">
        <v>8.90239654139636</v>
      </c>
      <c r="AB113" s="175">
        <v>80.31950102310901</v>
      </c>
      <c r="AC113" s="175">
        <v>7.680498976890977</v>
      </c>
      <c r="AD113" s="175">
        <v>68.45412019014974</v>
      </c>
      <c r="AE113" s="175">
        <v>6.545879809850265</v>
      </c>
      <c r="AF113" s="175">
        <v>56.58873935719044</v>
      </c>
      <c r="AG113" s="175">
        <v>5.411260642809553</v>
      </c>
      <c r="AH113" s="175">
        <v>45.17971932549882</v>
      </c>
      <c r="AI113" s="175">
        <v>4.320280674501175</v>
      </c>
      <c r="AJ113" s="175">
        <v>33.7706992938072</v>
      </c>
      <c r="AK113" s="175">
        <v>3.2293007061927974</v>
      </c>
      <c r="AL113" s="175">
        <v>24.18712246718624</v>
      </c>
      <c r="AM113" s="175">
        <v>2.31287753281376</v>
      </c>
      <c r="AN113" s="175">
        <v>14.603545640565276</v>
      </c>
      <c r="AO113" s="175">
        <v>1.3964543594347232</v>
      </c>
    </row>
    <row r="114" spans="1:41" ht="15">
      <c r="A114" s="175">
        <v>65</v>
      </c>
      <c r="B114" s="175"/>
      <c r="C114" s="175"/>
      <c r="D114" s="175">
        <v>808.7937451441769</v>
      </c>
      <c r="E114" s="175">
        <v>68.20625485582309</v>
      </c>
      <c r="F114" s="175">
        <v>696.7430723562436</v>
      </c>
      <c r="G114" s="175">
        <v>58.756927643756384</v>
      </c>
      <c r="H114" s="175">
        <v>584.6923995683103</v>
      </c>
      <c r="I114" s="175">
        <v>49.30760043168967</v>
      </c>
      <c r="J114" s="175">
        <v>505.84192612494985</v>
      </c>
      <c r="K114" s="175">
        <v>42.658073875050135</v>
      </c>
      <c r="L114" s="175">
        <v>426.9914526815894</v>
      </c>
      <c r="M114" s="175">
        <v>36.0085473184106</v>
      </c>
      <c r="N114" s="175">
        <v>351.36877639672906</v>
      </c>
      <c r="O114" s="175">
        <v>29.63122360327092</v>
      </c>
      <c r="P114" s="175">
        <v>275.74610011186877</v>
      </c>
      <c r="Q114" s="175">
        <v>23.253899888131247</v>
      </c>
      <c r="R114" s="175">
        <v>258.2237726800109</v>
      </c>
      <c r="S114" s="175">
        <v>21.77622731998913</v>
      </c>
      <c r="T114" s="175">
        <v>240.701445248153</v>
      </c>
      <c r="U114" s="175">
        <v>20.29855475184701</v>
      </c>
      <c r="V114" s="175">
        <v>212.57349858122325</v>
      </c>
      <c r="W114" s="258">
        <v>17.926501418776766</v>
      </c>
      <c r="X114" s="175">
        <v>184.44555191429347</v>
      </c>
      <c r="Y114" s="175">
        <v>15.554448085706522</v>
      </c>
      <c r="Z114" s="175">
        <v>164.1565412037212</v>
      </c>
      <c r="AA114" s="175">
        <v>13.843458796278803</v>
      </c>
      <c r="AB114" s="175">
        <v>143.8675304931489</v>
      </c>
      <c r="AC114" s="175">
        <v>12.132469506851086</v>
      </c>
      <c r="AD114" s="175">
        <v>123.57851978257663</v>
      </c>
      <c r="AE114" s="175">
        <v>10.421480217423369</v>
      </c>
      <c r="AF114" s="175">
        <v>103.28950907200435</v>
      </c>
      <c r="AG114" s="175">
        <v>8.710490927995652</v>
      </c>
      <c r="AH114" s="175">
        <v>84.844953880575</v>
      </c>
      <c r="AI114" s="175">
        <v>7.155046119424999</v>
      </c>
      <c r="AJ114" s="175">
        <v>66.40039868914565</v>
      </c>
      <c r="AK114" s="175">
        <v>5.599601310854347</v>
      </c>
      <c r="AL114" s="175">
        <v>51.18364065621644</v>
      </c>
      <c r="AM114" s="175">
        <v>4.316359343783559</v>
      </c>
      <c r="AN114" s="175">
        <v>35.966882623287226</v>
      </c>
      <c r="AO114" s="175">
        <v>3.0331173767127715</v>
      </c>
    </row>
    <row r="115" spans="1:41" ht="15">
      <c r="A115" s="175">
        <v>66</v>
      </c>
      <c r="B115" s="175"/>
      <c r="C115" s="175"/>
      <c r="D115" s="175">
        <v>814.1289758022566</v>
      </c>
      <c r="E115" s="175">
        <v>94.87102419774345</v>
      </c>
      <c r="F115" s="175">
        <v>685.6058646607562</v>
      </c>
      <c r="G115" s="175">
        <v>79.89413533924379</v>
      </c>
      <c r="H115" s="175">
        <v>557.0827535192559</v>
      </c>
      <c r="I115" s="175">
        <v>64.91724648074414</v>
      </c>
      <c r="J115" s="175">
        <v>478.267187104956</v>
      </c>
      <c r="K115" s="175">
        <v>55.732812895044006</v>
      </c>
      <c r="L115" s="175">
        <v>399.45162069065617</v>
      </c>
      <c r="M115" s="175">
        <v>46.54837930934387</v>
      </c>
      <c r="N115" s="175">
        <v>333.6227101059852</v>
      </c>
      <c r="O115" s="175">
        <v>38.87728989401478</v>
      </c>
      <c r="P115" s="175">
        <v>267.7937995213143</v>
      </c>
      <c r="Q115" s="175">
        <v>31.206200478685687</v>
      </c>
      <c r="R115" s="175">
        <v>253.0158808186331</v>
      </c>
      <c r="S115" s="175">
        <v>29.484119181366914</v>
      </c>
      <c r="T115" s="175">
        <v>238.23796211595186</v>
      </c>
      <c r="U115" s="175">
        <v>27.762037884048137</v>
      </c>
      <c r="V115" s="175">
        <v>211.81683473843088</v>
      </c>
      <c r="W115" s="258">
        <v>24.683165261569116</v>
      </c>
      <c r="X115" s="175">
        <v>185.3957073609099</v>
      </c>
      <c r="Y115" s="175">
        <v>21.604292639090094</v>
      </c>
      <c r="Z115" s="175">
        <v>164.7961843208088</v>
      </c>
      <c r="AA115" s="175">
        <v>19.203815679191194</v>
      </c>
      <c r="AB115" s="175">
        <v>144.1966612807077</v>
      </c>
      <c r="AC115" s="175">
        <v>16.803338719292295</v>
      </c>
      <c r="AD115" s="175">
        <v>124.49276967713274</v>
      </c>
      <c r="AE115" s="175">
        <v>14.50723032286726</v>
      </c>
      <c r="AF115" s="175">
        <v>104.78887807355778</v>
      </c>
      <c r="AG115" s="175">
        <v>12.211121926442226</v>
      </c>
      <c r="AH115" s="175">
        <v>85.98061790650894</v>
      </c>
      <c r="AI115" s="175">
        <v>10.019382093491057</v>
      </c>
      <c r="AJ115" s="175">
        <v>67.17235773946011</v>
      </c>
      <c r="AK115" s="175">
        <v>7.827642260539888</v>
      </c>
      <c r="AL115" s="175">
        <v>51.94662331851582</v>
      </c>
      <c r="AM115" s="175">
        <v>6.05337668148418</v>
      </c>
      <c r="AN115" s="175">
        <v>36.72088889757153</v>
      </c>
      <c r="AO115" s="175">
        <v>4.279111102428472</v>
      </c>
    </row>
    <row r="116" spans="1:41" ht="15">
      <c r="A116" s="175">
        <v>67</v>
      </c>
      <c r="B116" s="175"/>
      <c r="C116" s="175"/>
      <c r="D116" s="175">
        <v>643.5505163393904</v>
      </c>
      <c r="E116" s="175">
        <v>16.44948366060966</v>
      </c>
      <c r="F116" s="175">
        <v>542.6300944588951</v>
      </c>
      <c r="G116" s="175">
        <v>13.869905541104961</v>
      </c>
      <c r="H116" s="175">
        <v>441.70967257839976</v>
      </c>
      <c r="I116" s="175">
        <v>11.290327421600265</v>
      </c>
      <c r="J116" s="175">
        <v>378.81723575432295</v>
      </c>
      <c r="K116" s="175">
        <v>9.682764245677047</v>
      </c>
      <c r="L116" s="175">
        <v>315.9247989302462</v>
      </c>
      <c r="M116" s="175">
        <v>8.075201069753831</v>
      </c>
      <c r="N116" s="175">
        <v>261.3205126953888</v>
      </c>
      <c r="O116" s="175">
        <v>6.679487304611194</v>
      </c>
      <c r="P116" s="175">
        <v>206.71622646053146</v>
      </c>
      <c r="Q116" s="175">
        <v>5.283773539468556</v>
      </c>
      <c r="R116" s="175">
        <v>194.04023144172527</v>
      </c>
      <c r="S116" s="175">
        <v>4.95976855827473</v>
      </c>
      <c r="T116" s="175">
        <v>181.3642364229191</v>
      </c>
      <c r="U116" s="175">
        <v>4.635763577080903</v>
      </c>
      <c r="V116" s="175">
        <v>160.4000908148935</v>
      </c>
      <c r="W116" s="258">
        <v>4.0999091851064975</v>
      </c>
      <c r="X116" s="175">
        <v>139.43594520686793</v>
      </c>
      <c r="Y116" s="175">
        <v>3.5640547931320925</v>
      </c>
      <c r="Z116" s="175">
        <v>123.34718229838316</v>
      </c>
      <c r="AA116" s="175">
        <v>3.152817701616851</v>
      </c>
      <c r="AB116" s="175">
        <v>107.25841938989839</v>
      </c>
      <c r="AC116" s="175">
        <v>2.7415806101016096</v>
      </c>
      <c r="AD116" s="175">
        <v>91.16965648141364</v>
      </c>
      <c r="AE116" s="175">
        <v>2.330343518586368</v>
      </c>
      <c r="AF116" s="175">
        <v>75.08089357292887</v>
      </c>
      <c r="AG116" s="175">
        <v>1.9191064270711267</v>
      </c>
      <c r="AH116" s="175">
        <v>59.4796689343982</v>
      </c>
      <c r="AI116" s="175">
        <v>1.5203310656018016</v>
      </c>
      <c r="AJ116" s="175">
        <v>43.878444295867524</v>
      </c>
      <c r="AK116" s="175">
        <v>1.1215557041324766</v>
      </c>
      <c r="AL116" s="175">
        <v>31.20244927706135</v>
      </c>
      <c r="AM116" s="175">
        <v>0.79755072293865</v>
      </c>
      <c r="AN116" s="175">
        <v>18.52645425825518</v>
      </c>
      <c r="AO116" s="175">
        <v>0.47354574174482345</v>
      </c>
    </row>
    <row r="117" spans="1:41" ht="15">
      <c r="A117" s="175">
        <v>68</v>
      </c>
      <c r="B117" s="175"/>
      <c r="C117" s="175"/>
      <c r="D117" s="175">
        <v>864.89838954039</v>
      </c>
      <c r="E117" s="175">
        <v>26.101610459610022</v>
      </c>
      <c r="F117" s="175">
        <v>726.5728895297216</v>
      </c>
      <c r="G117" s="175">
        <v>21.927110470278453</v>
      </c>
      <c r="H117" s="175">
        <v>588.2473895190532</v>
      </c>
      <c r="I117" s="175">
        <v>17.752610480946885</v>
      </c>
      <c r="J117" s="175">
        <v>503.31067898618653</v>
      </c>
      <c r="K117" s="175">
        <v>15.189321013813464</v>
      </c>
      <c r="L117" s="175">
        <v>418.37396845331995</v>
      </c>
      <c r="M117" s="175">
        <v>12.626031546680045</v>
      </c>
      <c r="N117" s="175">
        <v>348.4831895005612</v>
      </c>
      <c r="O117" s="175">
        <v>10.516810499438831</v>
      </c>
      <c r="P117" s="175">
        <v>278.5924105478024</v>
      </c>
      <c r="Q117" s="175">
        <v>8.407589452197616</v>
      </c>
      <c r="R117" s="175">
        <v>263.5464789676946</v>
      </c>
      <c r="S117" s="175">
        <v>7.953521032305411</v>
      </c>
      <c r="T117" s="175">
        <v>248.5005473875868</v>
      </c>
      <c r="U117" s="175">
        <v>7.499452612413205</v>
      </c>
      <c r="V117" s="175">
        <v>221.80615264868587</v>
      </c>
      <c r="W117" s="258">
        <v>6.693847351314131</v>
      </c>
      <c r="X117" s="175">
        <v>195.11175790978496</v>
      </c>
      <c r="Y117" s="175">
        <v>5.888242090215056</v>
      </c>
      <c r="Z117" s="175">
        <v>172.78553685543145</v>
      </c>
      <c r="AA117" s="175">
        <v>5.2144631445685565</v>
      </c>
      <c r="AB117" s="175">
        <v>150.45931580107796</v>
      </c>
      <c r="AC117" s="175">
        <v>4.540684198922058</v>
      </c>
      <c r="AD117" s="175">
        <v>128.61844737834082</v>
      </c>
      <c r="AE117" s="175">
        <v>3.8815526216591785</v>
      </c>
      <c r="AF117" s="175">
        <v>106.7775789556037</v>
      </c>
      <c r="AG117" s="175">
        <v>3.2224210443962993</v>
      </c>
      <c r="AH117" s="175">
        <v>85.90741579609934</v>
      </c>
      <c r="AI117" s="175">
        <v>2.592584203900659</v>
      </c>
      <c r="AJ117" s="175">
        <v>65.03725263659499</v>
      </c>
      <c r="AK117" s="175">
        <v>1.9627473634050185</v>
      </c>
      <c r="AL117" s="175">
        <v>48.53526316163805</v>
      </c>
      <c r="AM117" s="175">
        <v>1.4647368383619541</v>
      </c>
      <c r="AN117" s="175">
        <v>32.03327368668111</v>
      </c>
      <c r="AO117" s="175">
        <v>0.9667263133188897</v>
      </c>
    </row>
    <row r="118" spans="1:41" ht="15">
      <c r="A118" s="175">
        <v>69</v>
      </c>
      <c r="B118" s="175"/>
      <c r="C118" s="259"/>
      <c r="D118" s="259">
        <v>1363.9030751428747</v>
      </c>
      <c r="E118" s="259">
        <v>16.09692485712528</v>
      </c>
      <c r="F118" s="259">
        <v>1237.8902910264135</v>
      </c>
      <c r="G118" s="259">
        <v>14.609708973586534</v>
      </c>
      <c r="H118" s="259">
        <v>1111.8775069099522</v>
      </c>
      <c r="I118" s="259">
        <v>13.122493090047785</v>
      </c>
      <c r="J118" s="259">
        <v>980.9230449850023</v>
      </c>
      <c r="K118" s="259">
        <v>11.576955014997711</v>
      </c>
      <c r="L118" s="259">
        <v>849.9685830600523</v>
      </c>
      <c r="M118" s="259">
        <v>10.03141693994764</v>
      </c>
      <c r="N118" s="259">
        <v>689.3640542841704</v>
      </c>
      <c r="O118" s="259">
        <v>8.135945715829626</v>
      </c>
      <c r="P118" s="259">
        <v>528.7595255082883</v>
      </c>
      <c r="Q118" s="259">
        <v>6.240474491711613</v>
      </c>
      <c r="R118" s="259">
        <v>489.226103040379</v>
      </c>
      <c r="S118" s="259">
        <v>5.773896959621025</v>
      </c>
      <c r="T118" s="259">
        <v>449.69268057246956</v>
      </c>
      <c r="U118" s="259">
        <v>5.307319427530437</v>
      </c>
      <c r="V118" s="259">
        <v>392.3692179940009</v>
      </c>
      <c r="W118" s="258">
        <v>4.630782005999085</v>
      </c>
      <c r="X118" s="175">
        <v>335.04575541553226</v>
      </c>
      <c r="Y118" s="175">
        <v>3.954244584467732</v>
      </c>
      <c r="Z118" s="175">
        <v>304.4073530029025</v>
      </c>
      <c r="AA118" s="175">
        <v>3.5926469970975266</v>
      </c>
      <c r="AB118" s="175">
        <v>273.76895059027265</v>
      </c>
      <c r="AC118" s="175">
        <v>3.231049409727321</v>
      </c>
      <c r="AD118" s="175">
        <v>244.11888373934062</v>
      </c>
      <c r="AE118" s="175">
        <v>2.8811162606593803</v>
      </c>
      <c r="AF118" s="175">
        <v>214.46881688840855</v>
      </c>
      <c r="AG118" s="175">
        <v>2.531183111591439</v>
      </c>
      <c r="AH118" s="175">
        <v>186.3012533800231</v>
      </c>
      <c r="AI118" s="175">
        <v>2.1987466199768955</v>
      </c>
      <c r="AJ118" s="175">
        <v>158.13368987163764</v>
      </c>
      <c r="AK118" s="175">
        <v>1.8663101283623516</v>
      </c>
      <c r="AL118" s="175">
        <v>135.8961397334386</v>
      </c>
      <c r="AM118" s="175">
        <v>1.603860266561396</v>
      </c>
      <c r="AN118" s="175">
        <v>113.65858959523956</v>
      </c>
      <c r="AO118" s="175">
        <v>1.34141040476044</v>
      </c>
    </row>
    <row r="119" ht="15">
      <c r="A119" t="s">
        <v>677</v>
      </c>
    </row>
    <row r="121" ht="15">
      <c r="A121" t="s">
        <v>450</v>
      </c>
    </row>
    <row r="122" spans="1:13" ht="15">
      <c r="A122" t="s">
        <v>12</v>
      </c>
      <c r="B122" t="s">
        <v>430</v>
      </c>
      <c r="C122" t="s">
        <v>431</v>
      </c>
      <c r="D122" t="s">
        <v>432</v>
      </c>
      <c r="E122" t="s">
        <v>433</v>
      </c>
      <c r="F122" t="s">
        <v>434</v>
      </c>
      <c r="G122" t="s">
        <v>435</v>
      </c>
      <c r="H122" t="s">
        <v>436</v>
      </c>
      <c r="I122" t="s">
        <v>437</v>
      </c>
      <c r="J122" t="s">
        <v>438</v>
      </c>
      <c r="K122" t="s">
        <v>439</v>
      </c>
      <c r="L122" t="s">
        <v>440</v>
      </c>
      <c r="M122" t="s">
        <v>441</v>
      </c>
    </row>
    <row r="123" spans="1:13" ht="15">
      <c r="A123" t="s">
        <v>163</v>
      </c>
      <c r="B123">
        <v>12.6</v>
      </c>
      <c r="C123">
        <f>4+34.8</f>
        <v>38.8</v>
      </c>
      <c r="D123">
        <f>4.5+81.9</f>
        <v>86.4</v>
      </c>
      <c r="E123" s="260">
        <f aca="true" t="shared" si="5" ref="E123:G130">B123/SUM($B123:$D123)</f>
        <v>0.09143686502177067</v>
      </c>
      <c r="F123" s="260">
        <f t="shared" si="5"/>
        <v>0.2815674891146589</v>
      </c>
      <c r="G123" s="260">
        <f t="shared" si="5"/>
        <v>0.6269956458635704</v>
      </c>
      <c r="H123">
        <f>AVERAGE(0.276815,0.3147199,0.30327)</f>
        <v>0.2982683</v>
      </c>
      <c r="I123">
        <f>AVERAGE(0.04165,0.04527,0.04268)*3.6</f>
        <v>0.15552</v>
      </c>
      <c r="J123">
        <f>AVERAGE(13.95,12.95,21.95)/15/4</f>
        <v>0.27138888888888885</v>
      </c>
      <c r="K123">
        <f>1.2/277.77</f>
        <v>0.004320120963386975</v>
      </c>
      <c r="L123">
        <f>51.53/277.77</f>
        <v>0.18551319436944236</v>
      </c>
      <c r="M123">
        <v>0.2574</v>
      </c>
    </row>
    <row r="124" spans="1:13" ht="15">
      <c r="A124" t="s">
        <v>164</v>
      </c>
      <c r="B124">
        <v>12.6</v>
      </c>
      <c r="C124">
        <f>4+34.8</f>
        <v>38.8</v>
      </c>
      <c r="D124">
        <f>4.5+81.9</f>
        <v>86.4</v>
      </c>
      <c r="E124" s="260">
        <f t="shared" si="5"/>
        <v>0.09143686502177067</v>
      </c>
      <c r="F124" s="260">
        <f t="shared" si="5"/>
        <v>0.2815674891146589</v>
      </c>
      <c r="G124" s="260">
        <f t="shared" si="5"/>
        <v>0.6269956458635704</v>
      </c>
      <c r="H124">
        <f>AVERAGE(0.276595,0.24739,0.28281,0.30558,0.300179,0.29436)</f>
        <v>0.28448566666666664</v>
      </c>
      <c r="I124">
        <f>AVERAGE(0.03794,0.03025,0.04444,0.05588,0.04418,0.04109,0.04418,0.0448)*3.6</f>
        <v>0.15424200000000002</v>
      </c>
      <c r="J124">
        <f aca="true" t="shared" si="6" ref="J124:J130">AVERAGE(13.95,12.95,21.95)/15/4</f>
        <v>0.27138888888888885</v>
      </c>
      <c r="K124">
        <f aca="true" t="shared" si="7" ref="K124:K130">1.2/277.77</f>
        <v>0.004320120963386975</v>
      </c>
      <c r="L124">
        <f aca="true" t="shared" si="8" ref="L124:L130">51.53/277.77</f>
        <v>0.18551319436944236</v>
      </c>
      <c r="M124">
        <v>0.2574</v>
      </c>
    </row>
    <row r="125" spans="1:13" ht="15">
      <c r="A125" t="s">
        <v>224</v>
      </c>
      <c r="B125">
        <v>15.1</v>
      </c>
      <c r="C125">
        <f>2.9+107.8</f>
        <v>110.7</v>
      </c>
      <c r="D125">
        <f>4.6+52</f>
        <v>56.6</v>
      </c>
      <c r="E125" s="260">
        <f t="shared" si="5"/>
        <v>0.08278508771929824</v>
      </c>
      <c r="F125" s="260">
        <f t="shared" si="5"/>
        <v>0.6069078947368421</v>
      </c>
      <c r="G125" s="260">
        <f t="shared" si="5"/>
        <v>0.31030701754385964</v>
      </c>
      <c r="H125">
        <f>AVERAGE(0.20394,0.21538,0.20823,0.2644345,0.2169992,0.2169992,0.2170003)</f>
        <v>0.22042617142857143</v>
      </c>
      <c r="I125">
        <f>AVERAGE(0.0308,0.0216,0.03098,0.0342,0.03872,0.03872,0.0292)*3.6</f>
        <v>0.11531314285714289</v>
      </c>
      <c r="J125">
        <f t="shared" si="6"/>
        <v>0.27138888888888885</v>
      </c>
      <c r="K125">
        <f t="shared" si="7"/>
        <v>0.004320120963386975</v>
      </c>
      <c r="L125">
        <f t="shared" si="8"/>
        <v>0.18551319436944236</v>
      </c>
      <c r="M125">
        <v>0.2452</v>
      </c>
    </row>
    <row r="126" spans="1:13" ht="15">
      <c r="A126" t="s">
        <v>222</v>
      </c>
      <c r="B126">
        <v>3.8</v>
      </c>
      <c r="C126">
        <f>4.1+4.8</f>
        <v>8.899999999999999</v>
      </c>
      <c r="D126">
        <f>-3.2+53.3</f>
        <v>50.099999999999994</v>
      </c>
      <c r="E126" s="260">
        <f t="shared" si="5"/>
        <v>0.06050955414012739</v>
      </c>
      <c r="F126" s="260">
        <f t="shared" si="5"/>
        <v>0.14171974522292993</v>
      </c>
      <c r="G126" s="260">
        <f t="shared" si="5"/>
        <v>0.7977707006369427</v>
      </c>
      <c r="H126">
        <f>AVERAGE(0.24387,0.2486,0.25817)</f>
        <v>0.25021333333333334</v>
      </c>
      <c r="I126">
        <f>AVERAGE(0.05379,0.05554,0.07126)*3.6</f>
        <v>0.216708</v>
      </c>
      <c r="J126">
        <f t="shared" si="6"/>
        <v>0.27138888888888885</v>
      </c>
      <c r="K126">
        <f t="shared" si="7"/>
        <v>0.004320120963386975</v>
      </c>
      <c r="L126">
        <f t="shared" si="8"/>
        <v>0.18551319436944236</v>
      </c>
      <c r="M126">
        <v>0.2553</v>
      </c>
    </row>
    <row r="127" spans="1:13" ht="15">
      <c r="A127" t="s">
        <v>170</v>
      </c>
      <c r="B127">
        <v>5.4</v>
      </c>
      <c r="C127">
        <f>2.1+10.3</f>
        <v>12.4</v>
      </c>
      <c r="D127">
        <f>4.8+21</f>
        <v>25.8</v>
      </c>
      <c r="E127" s="260">
        <f t="shared" si="5"/>
        <v>0.12385321100917432</v>
      </c>
      <c r="F127" s="260">
        <f t="shared" si="5"/>
        <v>0.28440366972477066</v>
      </c>
      <c r="G127" s="260">
        <f t="shared" si="5"/>
        <v>0.591743119266055</v>
      </c>
      <c r="H127">
        <v>0.300605</v>
      </c>
      <c r="I127">
        <f>AVERAGE(0.16126,0.1611)*3.6</f>
        <v>0.580248</v>
      </c>
      <c r="J127">
        <f t="shared" si="6"/>
        <v>0.27138888888888885</v>
      </c>
      <c r="K127">
        <f t="shared" si="7"/>
        <v>0.004320120963386975</v>
      </c>
      <c r="L127">
        <f t="shared" si="8"/>
        <v>0.18551319436944236</v>
      </c>
      <c r="M127">
        <v>0.202</v>
      </c>
    </row>
    <row r="128" spans="1:13" ht="15">
      <c r="A128" t="s">
        <v>167</v>
      </c>
      <c r="B128">
        <f>5.5</f>
        <v>5.5</v>
      </c>
      <c r="C128">
        <f>1.5+7.5</f>
        <v>9</v>
      </c>
      <c r="D128">
        <f>1.2+16.9</f>
        <v>18.099999999999998</v>
      </c>
      <c r="E128" s="260">
        <f t="shared" si="5"/>
        <v>0.16871165644171782</v>
      </c>
      <c r="F128" s="260">
        <f t="shared" si="5"/>
        <v>0.2760736196319019</v>
      </c>
      <c r="G128" s="260">
        <f t="shared" si="5"/>
        <v>0.5552147239263804</v>
      </c>
      <c r="H128">
        <f>AVERAGE(0.34474,0.35805,0.375177,0.37169,0.375177)</f>
        <v>0.36496680000000004</v>
      </c>
      <c r="I128">
        <f>AVERAGE(0.04873,0.04708,0.05443,0.05192,0.05443)*3.6</f>
        <v>0.1847448</v>
      </c>
      <c r="J128">
        <f t="shared" si="6"/>
        <v>0.27138888888888885</v>
      </c>
      <c r="K128">
        <f t="shared" si="7"/>
        <v>0.004320120963386975</v>
      </c>
      <c r="L128">
        <f t="shared" si="8"/>
        <v>0.18551319436944236</v>
      </c>
      <c r="M128">
        <v>0.0846</v>
      </c>
    </row>
    <row r="129" spans="1:13" ht="15">
      <c r="A129" t="s">
        <v>223</v>
      </c>
      <c r="B129">
        <f>4.2</f>
        <v>4.2</v>
      </c>
      <c r="C129">
        <f>0.9+0.4</f>
        <v>1.3</v>
      </c>
      <c r="D129">
        <f>0.4+8.1</f>
        <v>8.5</v>
      </c>
      <c r="E129" s="260">
        <f t="shared" si="5"/>
        <v>0.3</v>
      </c>
      <c r="F129" s="260">
        <f t="shared" si="5"/>
        <v>0.09285714285714286</v>
      </c>
      <c r="G129" s="260">
        <f t="shared" si="5"/>
        <v>0.6071428571428571</v>
      </c>
      <c r="H129">
        <v>0.27631</v>
      </c>
      <c r="I129">
        <f>0.0417*3.6</f>
        <v>0.15012</v>
      </c>
      <c r="J129">
        <f t="shared" si="6"/>
        <v>0.27138888888888885</v>
      </c>
      <c r="K129">
        <f t="shared" si="7"/>
        <v>0.004320120963386975</v>
      </c>
      <c r="L129">
        <f t="shared" si="8"/>
        <v>0.18551319436944236</v>
      </c>
      <c r="M129">
        <v>0.0037</v>
      </c>
    </row>
    <row r="130" spans="1:13" ht="15">
      <c r="A130" t="s">
        <v>165</v>
      </c>
      <c r="B130">
        <v>0.1</v>
      </c>
      <c r="C130">
        <f>0.4</f>
        <v>0.4</v>
      </c>
      <c r="D130">
        <f>0.4+2.8</f>
        <v>3.1999999999999997</v>
      </c>
      <c r="E130" s="260">
        <f t="shared" si="5"/>
        <v>0.027027027027027032</v>
      </c>
      <c r="F130" s="260">
        <f t="shared" si="5"/>
        <v>0.10810810810810813</v>
      </c>
      <c r="G130" s="260">
        <f t="shared" si="5"/>
        <v>0.8648648648648648</v>
      </c>
      <c r="H130">
        <v>0.273726</v>
      </c>
      <c r="I130" s="117">
        <v>0.6</v>
      </c>
      <c r="J130">
        <f t="shared" si="6"/>
        <v>0.27138888888888885</v>
      </c>
      <c r="K130">
        <f t="shared" si="7"/>
        <v>0.004320120963386975</v>
      </c>
      <c r="L130">
        <f t="shared" si="8"/>
        <v>0.18551319436944236</v>
      </c>
      <c r="M130">
        <v>0.1859</v>
      </c>
    </row>
    <row r="131" spans="1:13" ht="259.2">
      <c r="A131" t="s">
        <v>442</v>
      </c>
      <c r="H131" s="146" t="s">
        <v>443</v>
      </c>
      <c r="J131" s="146" t="s">
        <v>444</v>
      </c>
      <c r="K131" s="146" t="s">
        <v>445</v>
      </c>
      <c r="L131" s="146" t="s">
        <v>446</v>
      </c>
      <c r="M131" s="146" t="s">
        <v>447</v>
      </c>
    </row>
    <row r="133" spans="1:13" ht="15">
      <c r="A133" t="s">
        <v>451</v>
      </c>
      <c r="B133" s="262">
        <v>3</v>
      </c>
      <c r="C133" t="s">
        <v>452</v>
      </c>
      <c r="K133" t="s">
        <v>448</v>
      </c>
      <c r="M133" t="s">
        <v>449</v>
      </c>
    </row>
    <row r="135" spans="1:3" ht="15">
      <c r="A135" t="s">
        <v>453</v>
      </c>
      <c r="B135" t="s">
        <v>454</v>
      </c>
      <c r="C135" t="s">
        <v>455</v>
      </c>
    </row>
    <row r="136" spans="1:4" ht="15">
      <c r="A136" t="s">
        <v>274</v>
      </c>
      <c r="B136">
        <f>VLOOKUP(C136,$A$144:$B$164,2,FALSE)</f>
        <v>4.75</v>
      </c>
      <c r="C136" s="262">
        <v>3</v>
      </c>
      <c r="D136" t="s">
        <v>456</v>
      </c>
    </row>
    <row r="137" spans="1:4" ht="15">
      <c r="A137" t="s">
        <v>457</v>
      </c>
      <c r="B137">
        <f>VLOOKUP(C137,$A$144:$B$164,2,FALSE)</f>
        <v>5.25</v>
      </c>
      <c r="C137" s="262">
        <v>3.5</v>
      </c>
      <c r="D137" t="s">
        <v>458</v>
      </c>
    </row>
    <row r="138" ht="15">
      <c r="C138" s="261" t="s">
        <v>459</v>
      </c>
    </row>
    <row r="139" ht="15">
      <c r="B139" t="s">
        <v>460</v>
      </c>
    </row>
    <row r="140" spans="1:3" ht="15">
      <c r="A140" t="s">
        <v>461</v>
      </c>
      <c r="B140">
        <f>0.73</f>
        <v>0.73</v>
      </c>
      <c r="C140" t="s">
        <v>462</v>
      </c>
    </row>
    <row r="141" spans="1:3" ht="15">
      <c r="A141" t="s">
        <v>463</v>
      </c>
      <c r="B141">
        <f>AVERAGE(0.7,0.83)</f>
        <v>0.7649999999999999</v>
      </c>
      <c r="C141" t="s">
        <v>464</v>
      </c>
    </row>
    <row r="143" spans="1:2" ht="15">
      <c r="A143" t="s">
        <v>465</v>
      </c>
      <c r="B143" t="s">
        <v>454</v>
      </c>
    </row>
    <row r="144" spans="1:2" ht="15">
      <c r="A144">
        <v>0</v>
      </c>
      <c r="B144">
        <f>B145-0.5</f>
        <v>1.75</v>
      </c>
    </row>
    <row r="145" spans="1:2" ht="15">
      <c r="A145">
        <f>A144+0.5</f>
        <v>0.5</v>
      </c>
      <c r="B145">
        <f>2.25</f>
        <v>2.25</v>
      </c>
    </row>
    <row r="146" spans="1:2" ht="15">
      <c r="A146">
        <f aca="true" t="shared" si="9" ref="A146:B161">A145+0.5</f>
        <v>1</v>
      </c>
      <c r="B146">
        <f>B145+0.5</f>
        <v>2.75</v>
      </c>
    </row>
    <row r="147" spans="1:2" ht="15">
      <c r="A147">
        <f t="shared" si="9"/>
        <v>1.5</v>
      </c>
      <c r="B147">
        <f t="shared" si="9"/>
        <v>3.25</v>
      </c>
    </row>
    <row r="148" spans="1:2" ht="15">
      <c r="A148">
        <f t="shared" si="9"/>
        <v>2</v>
      </c>
      <c r="B148">
        <f t="shared" si="9"/>
        <v>3.75</v>
      </c>
    </row>
    <row r="149" spans="1:2" ht="15">
      <c r="A149">
        <f t="shared" si="9"/>
        <v>2.5</v>
      </c>
      <c r="B149">
        <f t="shared" si="9"/>
        <v>4.25</v>
      </c>
    </row>
    <row r="150" spans="1:2" ht="15">
      <c r="A150">
        <f t="shared" si="9"/>
        <v>3</v>
      </c>
      <c r="B150">
        <f t="shared" si="9"/>
        <v>4.75</v>
      </c>
    </row>
    <row r="151" spans="1:2" ht="15">
      <c r="A151">
        <f t="shared" si="9"/>
        <v>3.5</v>
      </c>
      <c r="B151">
        <f t="shared" si="9"/>
        <v>5.25</v>
      </c>
    </row>
    <row r="152" spans="1:2" ht="15">
      <c r="A152">
        <f t="shared" si="9"/>
        <v>4</v>
      </c>
      <c r="B152">
        <f t="shared" si="9"/>
        <v>5.75</v>
      </c>
    </row>
    <row r="153" spans="1:2" ht="15">
      <c r="A153">
        <f t="shared" si="9"/>
        <v>4.5</v>
      </c>
      <c r="B153">
        <f t="shared" si="9"/>
        <v>6.25</v>
      </c>
    </row>
    <row r="154" spans="1:2" ht="15">
      <c r="A154">
        <f t="shared" si="9"/>
        <v>5</v>
      </c>
      <c r="B154">
        <f t="shared" si="9"/>
        <v>6.75</v>
      </c>
    </row>
    <row r="155" spans="1:2" ht="15">
      <c r="A155">
        <f t="shared" si="9"/>
        <v>5.5</v>
      </c>
      <c r="B155">
        <f t="shared" si="9"/>
        <v>7.25</v>
      </c>
    </row>
    <row r="156" spans="1:2" ht="15">
      <c r="A156">
        <f t="shared" si="9"/>
        <v>6</v>
      </c>
      <c r="B156">
        <f t="shared" si="9"/>
        <v>7.75</v>
      </c>
    </row>
    <row r="157" spans="1:2" ht="15">
      <c r="A157">
        <f t="shared" si="9"/>
        <v>6.5</v>
      </c>
      <c r="B157">
        <f t="shared" si="9"/>
        <v>8.25</v>
      </c>
    </row>
    <row r="158" spans="1:2" ht="15">
      <c r="A158">
        <f t="shared" si="9"/>
        <v>7</v>
      </c>
      <c r="B158">
        <f t="shared" si="9"/>
        <v>8.75</v>
      </c>
    </row>
    <row r="159" spans="1:2" ht="15">
      <c r="A159">
        <f t="shared" si="9"/>
        <v>7.5</v>
      </c>
      <c r="B159">
        <f t="shared" si="9"/>
        <v>9.25</v>
      </c>
    </row>
    <row r="160" spans="1:2" ht="15">
      <c r="A160">
        <f t="shared" si="9"/>
        <v>8</v>
      </c>
      <c r="B160">
        <f t="shared" si="9"/>
        <v>9.75</v>
      </c>
    </row>
    <row r="161" spans="1:2" ht="15">
      <c r="A161">
        <f t="shared" si="9"/>
        <v>8.5</v>
      </c>
      <c r="B161">
        <f t="shared" si="9"/>
        <v>10.25</v>
      </c>
    </row>
    <row r="162" spans="1:2" ht="15">
      <c r="A162">
        <f aca="true" t="shared" si="10" ref="A162:B164">A161+0.5</f>
        <v>9</v>
      </c>
      <c r="B162">
        <f t="shared" si="10"/>
        <v>10.75</v>
      </c>
    </row>
    <row r="163" spans="1:2" ht="15">
      <c r="A163">
        <f t="shared" si="10"/>
        <v>9.5</v>
      </c>
      <c r="B163">
        <f t="shared" si="10"/>
        <v>11.25</v>
      </c>
    </row>
    <row r="164" spans="1:2" ht="15">
      <c r="A164">
        <f t="shared" si="10"/>
        <v>10</v>
      </c>
      <c r="B164">
        <f t="shared" si="10"/>
        <v>11.75</v>
      </c>
    </row>
  </sheetData>
  <sheetProtection algorithmName="SHA-512" hashValue="vZr0f3OfqzneKZmxYTJuj9SGHrDSsUDptmn0/y4fmUo2gGMqOiZfxTecJY2CBdXc4ceKoPJ+JA7gNF2PJcjk3A==" saltValue="czKKD1rrmCi3YJMDgKtyWg==" spinCount="100000" sheet="1" selectLockedCells="1" selectUnlockedCells="1"/>
  <mergeCells count="22">
    <mergeCell ref="AF48:AG48"/>
    <mergeCell ref="AH48:AI48"/>
    <mergeCell ref="AJ48:AK48"/>
    <mergeCell ref="AL48:AM48"/>
    <mergeCell ref="AN48:AO48"/>
    <mergeCell ref="V48:W48"/>
    <mergeCell ref="X48:Y48"/>
    <mergeCell ref="Z48:AA48"/>
    <mergeCell ref="AB48:AC48"/>
    <mergeCell ref="AD48:AE48"/>
    <mergeCell ref="I26:M29"/>
    <mergeCell ref="O36:T37"/>
    <mergeCell ref="B48:C48"/>
    <mergeCell ref="D48:E48"/>
    <mergeCell ref="F48:G48"/>
    <mergeCell ref="H48:I48"/>
    <mergeCell ref="J48:K48"/>
    <mergeCell ref="L48:M48"/>
    <mergeCell ref="N48:O48"/>
    <mergeCell ref="P48:Q48"/>
    <mergeCell ref="R48:S48"/>
    <mergeCell ref="T48:U48"/>
  </mergeCells>
  <hyperlinks>
    <hyperlink ref="C138" r:id="rId1" display="https://ahd.csiro.au/dashboards/fixtures-and-appliances/air-conditioning/"/>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Swinburne University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Andi Nygaard</dc:creator>
  <cp:keywords/>
  <dc:description/>
  <cp:lastModifiedBy>Andi Nygaard</cp:lastModifiedBy>
  <dcterms:created xsi:type="dcterms:W3CDTF">2022-05-10T00:37:36Z</dcterms:created>
  <dcterms:modified xsi:type="dcterms:W3CDTF">2023-10-08T23:43:16Z</dcterms:modified>
  <cp:category/>
  <cp:version/>
  <cp:contentType/>
  <cp:contentStatus/>
</cp:coreProperties>
</file>